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ayepe\Desktop\"/>
    </mc:Choice>
  </mc:AlternateContent>
  <xr:revisionPtr revIDLastSave="0" documentId="13_ncr:8001_{68AA0809-2BF4-4E10-BB76-AA17FD5F7411}" xr6:coauthVersionLast="45" xr6:coauthVersionMax="45" xr10:uidLastSave="{00000000-0000-0000-0000-000000000000}"/>
  <bookViews>
    <workbookView xWindow="-120" yWindow="-120" windowWidth="29040" windowHeight="15840" xr2:uid="{00000000-000D-0000-FFFF-FFFF00000000}"/>
  </bookViews>
  <sheets>
    <sheet name="Leyenda" sheetId="2" r:id="rId1"/>
    <sheet name="Riesgos" sheetId="1" r:id="rId2"/>
    <sheet name="Hoja8" sheetId="8" state="hidden" r:id="rId3"/>
    <sheet name="Resultados" sheetId="3" r:id="rId4"/>
    <sheet name="Flujo Proyecto" sheetId="9" r:id="rId5"/>
    <sheet name="Tasa de descuento" sheetId="10" r:id="rId6"/>
    <sheet name="Ing. Reducción Subsidios" sheetId="16" r:id="rId7"/>
    <sheet name="Flujo de caja Operacion PPR" sheetId="5" state="hidden" r:id="rId8"/>
    <sheet name="Flujo Total de Caja PPR" sheetId="6" state="hidden" r:id="rId9"/>
    <sheet name="Flujo de caja Operacion SI" sheetId="7" state="hidden" r:id="rId10"/>
  </sheets>
  <externalReferences>
    <externalReference r:id="rId11"/>
  </externalReferences>
  <definedNames>
    <definedName name="DA" localSheetId="9">[1]Datos!#REF!</definedName>
    <definedName name="DA">[1]Datos!#REF!</definedName>
    <definedName name="detalle2">[1]detalles!$B$2:$M$257</definedName>
    <definedName name="kd" localSheetId="9">[1]Datos!#REF!</definedName>
    <definedName name="kd">[1]Datos!#REF!</definedName>
    <definedName name="ku" localSheetId="9">[1]Datos!#REF!</definedName>
    <definedName name="ku">[1]Datos!#REF!</definedName>
    <definedName name="PA" localSheetId="9">[1]Datos!#REF!</definedName>
    <definedName name="PA">[1]Datos!#REF!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2" l="1"/>
  <c r="Y34" i="7" l="1"/>
  <c r="X34" i="7"/>
  <c r="W34" i="7"/>
  <c r="V34" i="7"/>
  <c r="U34" i="7"/>
  <c r="T34" i="7"/>
  <c r="S34" i="7"/>
  <c r="R34" i="7"/>
  <c r="Q34" i="7"/>
  <c r="P34" i="7"/>
  <c r="O34" i="7"/>
  <c r="N34" i="7"/>
  <c r="M34" i="7"/>
  <c r="L34" i="7"/>
  <c r="K34" i="7"/>
  <c r="J34" i="7"/>
  <c r="I34" i="7"/>
  <c r="H34" i="7"/>
  <c r="G34" i="7"/>
  <c r="F34" i="7"/>
  <c r="E34" i="7"/>
  <c r="D34" i="7"/>
  <c r="C34" i="7"/>
  <c r="Y30" i="7"/>
  <c r="X30" i="7"/>
  <c r="W30" i="7"/>
  <c r="V30" i="7"/>
  <c r="U30" i="7"/>
  <c r="T30" i="7"/>
  <c r="S30" i="7"/>
  <c r="R30" i="7"/>
  <c r="Q30" i="7"/>
  <c r="P30" i="7"/>
  <c r="O30" i="7"/>
  <c r="N30" i="7"/>
  <c r="M30" i="7"/>
  <c r="L30" i="7"/>
  <c r="K30" i="7"/>
  <c r="J30" i="7"/>
  <c r="I30" i="7"/>
  <c r="H30" i="7"/>
  <c r="G30" i="7"/>
  <c r="F30" i="7"/>
  <c r="E30" i="7"/>
  <c r="D30" i="7"/>
  <c r="Y28" i="7"/>
  <c r="X28" i="7"/>
  <c r="W28" i="7"/>
  <c r="V28" i="7"/>
  <c r="U28" i="7"/>
  <c r="T28" i="7"/>
  <c r="S28" i="7"/>
  <c r="R28" i="7"/>
  <c r="Q28" i="7"/>
  <c r="P28" i="7"/>
  <c r="O28" i="7"/>
  <c r="N28" i="7"/>
  <c r="M28" i="7"/>
  <c r="L28" i="7"/>
  <c r="K28" i="7"/>
  <c r="J28" i="7"/>
  <c r="I28" i="7"/>
  <c r="H28" i="7"/>
  <c r="G28" i="7"/>
  <c r="F28" i="7"/>
  <c r="E28" i="7"/>
  <c r="D28" i="7"/>
  <c r="C28" i="7"/>
  <c r="Y27" i="7"/>
  <c r="X27" i="7"/>
  <c r="W27" i="7"/>
  <c r="V27" i="7"/>
  <c r="U27" i="7"/>
  <c r="T27" i="7"/>
  <c r="S27" i="7"/>
  <c r="R27" i="7"/>
  <c r="Q27" i="7"/>
  <c r="P27" i="7"/>
  <c r="O27" i="7"/>
  <c r="N27" i="7"/>
  <c r="M27" i="7"/>
  <c r="L27" i="7"/>
  <c r="K27" i="7"/>
  <c r="J27" i="7"/>
  <c r="I27" i="7"/>
  <c r="H27" i="7"/>
  <c r="G27" i="7"/>
  <c r="F27" i="7"/>
  <c r="E27" i="7"/>
  <c r="D27" i="7"/>
  <c r="Y23" i="7"/>
  <c r="X23" i="7"/>
  <c r="W23" i="7"/>
  <c r="V23" i="7"/>
  <c r="U23" i="7"/>
  <c r="T23" i="7"/>
  <c r="S23" i="7"/>
  <c r="R23" i="7"/>
  <c r="Q23" i="7"/>
  <c r="P23" i="7"/>
  <c r="O23" i="7"/>
  <c r="N23" i="7"/>
  <c r="M23" i="7"/>
  <c r="L23" i="7"/>
  <c r="K23" i="7"/>
  <c r="J23" i="7"/>
  <c r="I23" i="7"/>
  <c r="H23" i="7"/>
  <c r="G23" i="7"/>
  <c r="F23" i="7"/>
  <c r="E23" i="7"/>
  <c r="D23" i="7"/>
  <c r="C23" i="7"/>
  <c r="Y21" i="7"/>
  <c r="X21" i="7"/>
  <c r="W21" i="7"/>
  <c r="V21" i="7"/>
  <c r="U21" i="7"/>
  <c r="T21" i="7"/>
  <c r="S21" i="7"/>
  <c r="R21" i="7"/>
  <c r="Q21" i="7"/>
  <c r="P21" i="7"/>
  <c r="O21" i="7"/>
  <c r="N21" i="7"/>
  <c r="M21" i="7"/>
  <c r="L21" i="7"/>
  <c r="K21" i="7"/>
  <c r="J21" i="7"/>
  <c r="I21" i="7"/>
  <c r="H21" i="7"/>
  <c r="G21" i="7"/>
  <c r="F21" i="7"/>
  <c r="E21" i="7"/>
  <c r="D21" i="7"/>
  <c r="C21" i="7"/>
  <c r="Y20" i="7"/>
  <c r="X20" i="7"/>
  <c r="W20" i="7"/>
  <c r="V20" i="7"/>
  <c r="U20" i="7"/>
  <c r="T20" i="7"/>
  <c r="S20" i="7"/>
  <c r="R20" i="7"/>
  <c r="Q20" i="7"/>
  <c r="P20" i="7"/>
  <c r="O20" i="7"/>
  <c r="N20" i="7"/>
  <c r="M20" i="7"/>
  <c r="L20" i="7"/>
  <c r="K20" i="7"/>
  <c r="J20" i="7"/>
  <c r="I20" i="7"/>
  <c r="H20" i="7"/>
  <c r="G20" i="7"/>
  <c r="F20" i="7"/>
  <c r="E20" i="7"/>
  <c r="D20" i="7"/>
  <c r="C20" i="7"/>
  <c r="Y19" i="7"/>
  <c r="X19" i="7"/>
  <c r="W19" i="7"/>
  <c r="V19" i="7"/>
  <c r="U19" i="7"/>
  <c r="T19" i="7"/>
  <c r="S19" i="7"/>
  <c r="R19" i="7"/>
  <c r="Q19" i="7"/>
  <c r="P19" i="7"/>
  <c r="O19" i="7"/>
  <c r="N19" i="7"/>
  <c r="M19" i="7"/>
  <c r="L19" i="7"/>
  <c r="K19" i="7"/>
  <c r="J19" i="7"/>
  <c r="I19" i="7"/>
  <c r="H19" i="7"/>
  <c r="G19" i="7"/>
  <c r="F19" i="7"/>
  <c r="E19" i="7"/>
  <c r="D19" i="7"/>
  <c r="C19" i="7"/>
  <c r="Y18" i="7"/>
  <c r="X18" i="7"/>
  <c r="W18" i="7"/>
  <c r="V18" i="7"/>
  <c r="U18" i="7"/>
  <c r="T18" i="7"/>
  <c r="S18" i="7"/>
  <c r="R18" i="7"/>
  <c r="Q18" i="7"/>
  <c r="P18" i="7"/>
  <c r="O18" i="7"/>
  <c r="N18" i="7"/>
  <c r="M18" i="7"/>
  <c r="L18" i="7"/>
  <c r="K18" i="7"/>
  <c r="J18" i="7"/>
  <c r="I18" i="7"/>
  <c r="H18" i="7"/>
  <c r="G18" i="7"/>
  <c r="F18" i="7"/>
  <c r="E18" i="7"/>
  <c r="D18" i="7"/>
  <c r="C18" i="7"/>
  <c r="Y16" i="7"/>
  <c r="X16" i="7"/>
  <c r="W16" i="7"/>
  <c r="V16" i="7"/>
  <c r="U16" i="7"/>
  <c r="T16" i="7"/>
  <c r="S16" i="7"/>
  <c r="R16" i="7"/>
  <c r="Q16" i="7"/>
  <c r="P16" i="7"/>
  <c r="O16" i="7"/>
  <c r="N16" i="7"/>
  <c r="M16" i="7"/>
  <c r="L16" i="7"/>
  <c r="K16" i="7"/>
  <c r="J16" i="7"/>
  <c r="I16" i="7"/>
  <c r="H16" i="7"/>
  <c r="G16" i="7"/>
  <c r="F16" i="7"/>
  <c r="E16" i="7"/>
  <c r="D16" i="7"/>
  <c r="Y15" i="7"/>
  <c r="X15" i="7"/>
  <c r="W15" i="7"/>
  <c r="V15" i="7"/>
  <c r="U15" i="7"/>
  <c r="T15" i="7"/>
  <c r="S15" i="7"/>
  <c r="R15" i="7"/>
  <c r="Q15" i="7"/>
  <c r="P15" i="7"/>
  <c r="O15" i="7"/>
  <c r="N15" i="7"/>
  <c r="M15" i="7"/>
  <c r="L15" i="7"/>
  <c r="K15" i="7"/>
  <c r="J15" i="7"/>
  <c r="I15" i="7"/>
  <c r="H15" i="7"/>
  <c r="G15" i="7"/>
  <c r="F15" i="7"/>
  <c r="E15" i="7"/>
  <c r="D15" i="7"/>
  <c r="Y14" i="7"/>
  <c r="X14" i="7"/>
  <c r="W14" i="7"/>
  <c r="V14" i="7"/>
  <c r="U14" i="7"/>
  <c r="T14" i="7"/>
  <c r="S14" i="7"/>
  <c r="R14" i="7"/>
  <c r="Q14" i="7"/>
  <c r="P14" i="7"/>
  <c r="O14" i="7"/>
  <c r="N14" i="7"/>
  <c r="M14" i="7"/>
  <c r="L14" i="7"/>
  <c r="K14" i="7"/>
  <c r="J14" i="7"/>
  <c r="I14" i="7"/>
  <c r="H14" i="7"/>
  <c r="G14" i="7"/>
  <c r="F14" i="7"/>
  <c r="E14" i="7"/>
  <c r="D14" i="7"/>
  <c r="Y13" i="7"/>
  <c r="X13" i="7"/>
  <c r="W13" i="7"/>
  <c r="V13" i="7"/>
  <c r="U13" i="7"/>
  <c r="T13" i="7"/>
  <c r="S13" i="7"/>
  <c r="R13" i="7"/>
  <c r="Q13" i="7"/>
  <c r="P13" i="7"/>
  <c r="O13" i="7"/>
  <c r="N13" i="7"/>
  <c r="M13" i="7"/>
  <c r="L13" i="7"/>
  <c r="K13" i="7"/>
  <c r="J13" i="7"/>
  <c r="I13" i="7"/>
  <c r="H13" i="7"/>
  <c r="G13" i="7"/>
  <c r="F13" i="7"/>
  <c r="E13" i="7"/>
  <c r="D13" i="7"/>
  <c r="C13" i="7"/>
  <c r="Y12" i="7"/>
  <c r="X12" i="7"/>
  <c r="W12" i="7"/>
  <c r="V12" i="7"/>
  <c r="U12" i="7"/>
  <c r="T12" i="7"/>
  <c r="S12" i="7"/>
  <c r="R12" i="7"/>
  <c r="Q12" i="7"/>
  <c r="P12" i="7"/>
  <c r="O12" i="7"/>
  <c r="N12" i="7"/>
  <c r="M12" i="7"/>
  <c r="L12" i="7"/>
  <c r="K12" i="7"/>
  <c r="J12" i="7"/>
  <c r="I12" i="7"/>
  <c r="H12" i="7"/>
  <c r="G12" i="7"/>
  <c r="F12" i="7"/>
  <c r="E12" i="7"/>
  <c r="D12" i="7"/>
  <c r="Y11" i="7"/>
  <c r="X11" i="7"/>
  <c r="W11" i="7"/>
  <c r="V11" i="7"/>
  <c r="U11" i="7"/>
  <c r="T11" i="7"/>
  <c r="S11" i="7"/>
  <c r="R11" i="7"/>
  <c r="Q11" i="7"/>
  <c r="P11" i="7"/>
  <c r="O11" i="7"/>
  <c r="N11" i="7"/>
  <c r="M11" i="7"/>
  <c r="L11" i="7"/>
  <c r="K11" i="7"/>
  <c r="J11" i="7"/>
  <c r="I11" i="7"/>
  <c r="H11" i="7"/>
  <c r="G11" i="7"/>
  <c r="F11" i="7"/>
  <c r="E11" i="7"/>
  <c r="D11" i="7"/>
  <c r="C33" i="6"/>
  <c r="C26" i="6"/>
  <c r="C25" i="6"/>
  <c r="C14" i="6"/>
  <c r="Z10" i="6"/>
  <c r="Y10" i="6"/>
  <c r="X10" i="6"/>
  <c r="W10" i="6"/>
  <c r="V10" i="6"/>
  <c r="U10" i="6"/>
  <c r="T10" i="6"/>
  <c r="S10" i="6"/>
  <c r="R10" i="6"/>
  <c r="Q10" i="6"/>
  <c r="P10" i="6"/>
  <c r="O10" i="6"/>
  <c r="N10" i="6"/>
  <c r="M10" i="6"/>
  <c r="L10" i="6"/>
  <c r="K10" i="6"/>
  <c r="J10" i="6"/>
  <c r="I10" i="6"/>
  <c r="H10" i="6"/>
  <c r="G10" i="6"/>
  <c r="F10" i="6"/>
  <c r="E10" i="6"/>
  <c r="D10" i="6"/>
  <c r="C10" i="6"/>
  <c r="Z8" i="6"/>
  <c r="Y8" i="6"/>
  <c r="X8" i="6"/>
  <c r="W8" i="6"/>
  <c r="V8" i="6"/>
  <c r="U8" i="6"/>
  <c r="T8" i="6"/>
  <c r="S8" i="6"/>
  <c r="R8" i="6"/>
  <c r="Q8" i="6"/>
  <c r="P8" i="6"/>
  <c r="O8" i="6"/>
  <c r="N8" i="6"/>
  <c r="M8" i="6"/>
  <c r="L8" i="6"/>
  <c r="K8" i="6"/>
  <c r="J8" i="6"/>
  <c r="I8" i="6"/>
  <c r="H8" i="6"/>
  <c r="G8" i="6"/>
  <c r="F8" i="6"/>
  <c r="E8" i="6"/>
  <c r="D8" i="6"/>
  <c r="C8" i="6"/>
  <c r="Z7" i="6"/>
  <c r="Y7" i="6"/>
  <c r="X7" i="6"/>
  <c r="W7" i="6"/>
  <c r="V7" i="6"/>
  <c r="U7" i="6"/>
  <c r="T7" i="6"/>
  <c r="S7" i="6"/>
  <c r="R7" i="6"/>
  <c r="Q7" i="6"/>
  <c r="P7" i="6"/>
  <c r="O7" i="6"/>
  <c r="N7" i="6"/>
  <c r="M7" i="6"/>
  <c r="L7" i="6"/>
  <c r="K7" i="6"/>
  <c r="J7" i="6"/>
  <c r="I7" i="6"/>
  <c r="H7" i="6"/>
  <c r="G7" i="6"/>
  <c r="F7" i="6"/>
  <c r="E7" i="6"/>
  <c r="D7" i="6"/>
  <c r="Y34" i="5"/>
  <c r="X34" i="5"/>
  <c r="W34" i="5"/>
  <c r="V34" i="5"/>
  <c r="U34" i="5"/>
  <c r="T34" i="5"/>
  <c r="S34" i="5"/>
  <c r="R34" i="5"/>
  <c r="Q34" i="5"/>
  <c r="P34" i="5"/>
  <c r="O34" i="5"/>
  <c r="N34" i="5"/>
  <c r="M34" i="5"/>
  <c r="L34" i="5"/>
  <c r="K34" i="5"/>
  <c r="J34" i="5"/>
  <c r="I34" i="5"/>
  <c r="H34" i="5"/>
  <c r="G34" i="5"/>
  <c r="F34" i="5"/>
  <c r="E34" i="5"/>
  <c r="D34" i="5"/>
  <c r="C34" i="5"/>
  <c r="Y30" i="5"/>
  <c r="X30" i="5"/>
  <c r="W30" i="5"/>
  <c r="V30" i="5"/>
  <c r="U30" i="5"/>
  <c r="T30" i="5"/>
  <c r="S30" i="5"/>
  <c r="R30" i="5"/>
  <c r="Q30" i="5"/>
  <c r="P30" i="5"/>
  <c r="O30" i="5"/>
  <c r="N30" i="5"/>
  <c r="M30" i="5"/>
  <c r="L30" i="5"/>
  <c r="K30" i="5"/>
  <c r="J30" i="5"/>
  <c r="I30" i="5"/>
  <c r="H30" i="5"/>
  <c r="G30" i="5"/>
  <c r="F30" i="5"/>
  <c r="E30" i="5"/>
  <c r="D30" i="5"/>
  <c r="Y28" i="5"/>
  <c r="X28" i="5"/>
  <c r="W28" i="5"/>
  <c r="V28" i="5"/>
  <c r="U28" i="5"/>
  <c r="T28" i="5"/>
  <c r="S28" i="5"/>
  <c r="R28" i="5"/>
  <c r="Q28" i="5"/>
  <c r="P28" i="5"/>
  <c r="O28" i="5"/>
  <c r="N28" i="5"/>
  <c r="M28" i="5"/>
  <c r="L28" i="5"/>
  <c r="K28" i="5"/>
  <c r="J28" i="5"/>
  <c r="I28" i="5"/>
  <c r="H28" i="5"/>
  <c r="G28" i="5"/>
  <c r="F28" i="5"/>
  <c r="E28" i="5"/>
  <c r="D28" i="5"/>
  <c r="C28" i="5"/>
  <c r="Y27" i="5"/>
  <c r="X27" i="5"/>
  <c r="W27" i="5"/>
  <c r="V27" i="5"/>
  <c r="U27" i="5"/>
  <c r="T27" i="5"/>
  <c r="S27" i="5"/>
  <c r="R27" i="5"/>
  <c r="Q27" i="5"/>
  <c r="P27" i="5"/>
  <c r="O27" i="5"/>
  <c r="N27" i="5"/>
  <c r="M27" i="5"/>
  <c r="L27" i="5"/>
  <c r="K27" i="5"/>
  <c r="J27" i="5"/>
  <c r="I27" i="5"/>
  <c r="H27" i="5"/>
  <c r="G27" i="5"/>
  <c r="F27" i="5"/>
  <c r="E27" i="5"/>
  <c r="D27" i="5"/>
  <c r="Y23" i="5"/>
  <c r="X23" i="5"/>
  <c r="W23" i="5"/>
  <c r="V23" i="5"/>
  <c r="U23" i="5"/>
  <c r="T23" i="5"/>
  <c r="S23" i="5"/>
  <c r="R23" i="5"/>
  <c r="Q23" i="5"/>
  <c r="P23" i="5"/>
  <c r="O23" i="5"/>
  <c r="N23" i="5"/>
  <c r="M23" i="5"/>
  <c r="L23" i="5"/>
  <c r="K23" i="5"/>
  <c r="J23" i="5"/>
  <c r="I23" i="5"/>
  <c r="H23" i="5"/>
  <c r="G23" i="5"/>
  <c r="F23" i="5"/>
  <c r="E23" i="5"/>
  <c r="D23" i="5"/>
  <c r="C23" i="5"/>
  <c r="Y21" i="5"/>
  <c r="X21" i="5"/>
  <c r="W21" i="5"/>
  <c r="V21" i="5"/>
  <c r="U21" i="5"/>
  <c r="T21" i="5"/>
  <c r="S21" i="5"/>
  <c r="R21" i="5"/>
  <c r="Q21" i="5"/>
  <c r="P21" i="5"/>
  <c r="O21" i="5"/>
  <c r="N21" i="5"/>
  <c r="M21" i="5"/>
  <c r="L21" i="5"/>
  <c r="K21" i="5"/>
  <c r="J21" i="5"/>
  <c r="I21" i="5"/>
  <c r="H21" i="5"/>
  <c r="G21" i="5"/>
  <c r="F21" i="5"/>
  <c r="E21" i="5"/>
  <c r="D21" i="5"/>
  <c r="C21" i="5"/>
  <c r="C20" i="5"/>
  <c r="Y19" i="5"/>
  <c r="X19" i="5"/>
  <c r="W19" i="5"/>
  <c r="V19" i="5"/>
  <c r="U19" i="5"/>
  <c r="T19" i="5"/>
  <c r="S19" i="5"/>
  <c r="R19" i="5"/>
  <c r="Q19" i="5"/>
  <c r="P19" i="5"/>
  <c r="O19" i="5"/>
  <c r="N19" i="5"/>
  <c r="M19" i="5"/>
  <c r="L19" i="5"/>
  <c r="K19" i="5"/>
  <c r="J19" i="5"/>
  <c r="I19" i="5"/>
  <c r="H19" i="5"/>
  <c r="G19" i="5"/>
  <c r="F19" i="5"/>
  <c r="E19" i="5"/>
  <c r="D19" i="5"/>
  <c r="C19" i="5"/>
  <c r="C18" i="5"/>
  <c r="Y16" i="5"/>
  <c r="X16" i="5"/>
  <c r="W16" i="5"/>
  <c r="V16" i="5"/>
  <c r="U16" i="5"/>
  <c r="T16" i="5"/>
  <c r="S16" i="5"/>
  <c r="R16" i="5"/>
  <c r="Q16" i="5"/>
  <c r="P16" i="5"/>
  <c r="O16" i="5"/>
  <c r="N16" i="5"/>
  <c r="M16" i="5"/>
  <c r="L16" i="5"/>
  <c r="K16" i="5"/>
  <c r="J16" i="5"/>
  <c r="I16" i="5"/>
  <c r="H16" i="5"/>
  <c r="G16" i="5"/>
  <c r="F16" i="5"/>
  <c r="E16" i="5"/>
  <c r="D16" i="5"/>
  <c r="Y14" i="5"/>
  <c r="X14" i="5"/>
  <c r="W14" i="5"/>
  <c r="V14" i="5"/>
  <c r="U14" i="5"/>
  <c r="T14" i="5"/>
  <c r="S14" i="5"/>
  <c r="R14" i="5"/>
  <c r="Q14" i="5"/>
  <c r="P14" i="5"/>
  <c r="O14" i="5"/>
  <c r="N14" i="5"/>
  <c r="M14" i="5"/>
  <c r="L14" i="5"/>
  <c r="K14" i="5"/>
  <c r="J14" i="5"/>
  <c r="I14" i="5"/>
  <c r="H14" i="5"/>
  <c r="G14" i="5"/>
  <c r="F14" i="5"/>
  <c r="E14" i="5"/>
  <c r="D14" i="5"/>
  <c r="Y13" i="5"/>
  <c r="X13" i="5"/>
  <c r="W13" i="5"/>
  <c r="V13" i="5"/>
  <c r="U13" i="5"/>
  <c r="T13" i="5"/>
  <c r="S13" i="5"/>
  <c r="R13" i="5"/>
  <c r="Q13" i="5"/>
  <c r="P13" i="5"/>
  <c r="O13" i="5"/>
  <c r="N13" i="5"/>
  <c r="M13" i="5"/>
  <c r="L13" i="5"/>
  <c r="K13" i="5"/>
  <c r="J13" i="5"/>
  <c r="I13" i="5"/>
  <c r="H13" i="5"/>
  <c r="G13" i="5"/>
  <c r="F13" i="5"/>
  <c r="E13" i="5"/>
  <c r="D13" i="5"/>
  <c r="C13" i="5"/>
  <c r="Y12" i="5"/>
  <c r="X12" i="5"/>
  <c r="W12" i="5"/>
  <c r="V12" i="5"/>
  <c r="U12" i="5"/>
  <c r="T12" i="5"/>
  <c r="S12" i="5"/>
  <c r="R12" i="5"/>
  <c r="Q12" i="5"/>
  <c r="P12" i="5"/>
  <c r="O12" i="5"/>
  <c r="N12" i="5"/>
  <c r="M12" i="5"/>
  <c r="L12" i="5"/>
  <c r="K12" i="5"/>
  <c r="J12" i="5"/>
  <c r="I12" i="5"/>
  <c r="H12" i="5"/>
  <c r="G12" i="5"/>
  <c r="F12" i="5"/>
  <c r="E12" i="5"/>
  <c r="D12" i="5"/>
  <c r="Y11" i="5"/>
  <c r="X11" i="5"/>
  <c r="W11" i="5"/>
  <c r="V11" i="5"/>
  <c r="U11" i="5"/>
  <c r="T11" i="5"/>
  <c r="S11" i="5"/>
  <c r="R11" i="5"/>
  <c r="Q11" i="5"/>
  <c r="P11" i="5"/>
  <c r="O11" i="5"/>
  <c r="N11" i="5"/>
  <c r="M11" i="5"/>
  <c r="L11" i="5"/>
  <c r="K11" i="5"/>
  <c r="J11" i="5"/>
  <c r="I11" i="5"/>
  <c r="H11" i="5"/>
  <c r="G11" i="5"/>
  <c r="F11" i="5"/>
  <c r="E11" i="5"/>
  <c r="D11" i="5"/>
  <c r="E13" i="16"/>
  <c r="D13" i="16"/>
  <c r="N35" i="10"/>
  <c r="D33" i="10"/>
  <c r="D35" i="10" s="1"/>
  <c r="D30" i="10"/>
  <c r="D32" i="10" s="1"/>
  <c r="D27" i="10"/>
  <c r="D14" i="10"/>
  <c r="C37" i="9"/>
  <c r="C36" i="9"/>
  <c r="C33" i="9"/>
  <c r="C31" i="9"/>
  <c r="C30" i="9"/>
  <c r="C29" i="9"/>
  <c r="N27" i="9"/>
  <c r="M27" i="9"/>
  <c r="L27" i="9"/>
  <c r="K27" i="9"/>
  <c r="J27" i="9"/>
  <c r="I27" i="9"/>
  <c r="H27" i="9"/>
  <c r="G27" i="9"/>
  <c r="F27" i="9"/>
  <c r="E27" i="9"/>
  <c r="D27" i="9"/>
  <c r="C27" i="9"/>
  <c r="N26" i="9"/>
  <c r="M26" i="9"/>
  <c r="L26" i="9"/>
  <c r="K26" i="9"/>
  <c r="J26" i="9"/>
  <c r="I26" i="9"/>
  <c r="H26" i="9"/>
  <c r="G26" i="9"/>
  <c r="F26" i="9"/>
  <c r="E26" i="9"/>
  <c r="D26" i="9"/>
  <c r="C26" i="9"/>
  <c r="C23" i="9"/>
  <c r="N22" i="9"/>
  <c r="M22" i="9"/>
  <c r="L22" i="9"/>
  <c r="K22" i="9"/>
  <c r="J22" i="9"/>
  <c r="I22" i="9"/>
  <c r="H22" i="9"/>
  <c r="G22" i="9"/>
  <c r="F22" i="9"/>
  <c r="E22" i="9"/>
  <c r="D22" i="9"/>
  <c r="C22" i="9"/>
  <c r="N21" i="9"/>
  <c r="M21" i="9"/>
  <c r="L21" i="9"/>
  <c r="K21" i="9"/>
  <c r="J21" i="9"/>
  <c r="I21" i="9"/>
  <c r="H21" i="9"/>
  <c r="G21" i="9"/>
  <c r="F21" i="9"/>
  <c r="E21" i="9"/>
  <c r="D21" i="9"/>
  <c r="C21" i="9"/>
  <c r="N14" i="9"/>
  <c r="N13" i="9"/>
  <c r="N12" i="9"/>
  <c r="M12" i="9"/>
  <c r="L12" i="9"/>
  <c r="K12" i="9"/>
  <c r="J12" i="9"/>
  <c r="I12" i="9"/>
  <c r="H12" i="9"/>
  <c r="G12" i="9"/>
  <c r="F12" i="9"/>
  <c r="E12" i="9"/>
  <c r="D12" i="9"/>
  <c r="C12" i="9"/>
  <c r="N11" i="9"/>
  <c r="N10" i="9"/>
  <c r="N9" i="9"/>
  <c r="N7" i="9"/>
  <c r="C25" i="3"/>
  <c r="C23" i="3"/>
  <c r="C22" i="3"/>
  <c r="C14" i="3"/>
  <c r="F13" i="3"/>
  <c r="C13" i="3"/>
  <c r="F12" i="3"/>
  <c r="F10" i="3"/>
  <c r="K9" i="3"/>
  <c r="I9" i="3"/>
  <c r="F9" i="3"/>
  <c r="C9" i="3"/>
  <c r="K8" i="3"/>
  <c r="I8" i="3"/>
  <c r="F8" i="3"/>
  <c r="C8" i="3"/>
  <c r="K7" i="3"/>
  <c r="I7" i="3"/>
  <c r="F7" i="3"/>
  <c r="C7" i="3"/>
  <c r="C28" i="1"/>
  <c r="C27" i="1"/>
  <c r="C25" i="1"/>
  <c r="C24" i="1"/>
  <c r="C23" i="1"/>
  <c r="J20" i="1"/>
  <c r="J19" i="1"/>
  <c r="I19" i="1"/>
  <c r="G19" i="1"/>
  <c r="J18" i="1"/>
  <c r="I18" i="1"/>
  <c r="G18" i="1"/>
  <c r="J17" i="1"/>
  <c r="I17" i="1"/>
  <c r="G17" i="1"/>
  <c r="J16" i="1"/>
  <c r="I16" i="1"/>
  <c r="G16" i="1"/>
  <c r="J15" i="1"/>
  <c r="I15" i="1"/>
  <c r="G15" i="1"/>
  <c r="J14" i="1"/>
  <c r="I14" i="1"/>
  <c r="G14" i="1"/>
  <c r="J13" i="1"/>
  <c r="I13" i="1"/>
  <c r="G13" i="1"/>
  <c r="J12" i="1"/>
  <c r="I12" i="1"/>
  <c r="G12" i="1"/>
  <c r="J11" i="1"/>
  <c r="I11" i="1"/>
  <c r="G11" i="1"/>
  <c r="J10" i="1"/>
  <c r="I10" i="1"/>
  <c r="G10" i="1"/>
  <c r="J9" i="1"/>
  <c r="I9" i="1"/>
  <c r="G9" i="1"/>
  <c r="J8" i="1"/>
  <c r="I8" i="1"/>
  <c r="G8" i="1"/>
  <c r="J7" i="1"/>
  <c r="I7" i="1"/>
  <c r="G7" i="1"/>
  <c r="G21" i="2"/>
  <c r="F21" i="2"/>
  <c r="E21" i="2"/>
  <c r="D21" i="2"/>
  <c r="G20" i="2"/>
  <c r="F20" i="2"/>
  <c r="E20" i="2"/>
  <c r="D20" i="2"/>
  <c r="G19" i="2"/>
  <c r="F19" i="2"/>
  <c r="E19" i="2"/>
  <c r="G18" i="2"/>
  <c r="F18" i="2"/>
  <c r="E18" i="2"/>
  <c r="D18" i="2"/>
  <c r="G17" i="2"/>
  <c r="F17" i="2"/>
  <c r="E17" i="2"/>
  <c r="D17" i="2"/>
</calcChain>
</file>

<file path=xl/sharedStrings.xml><?xml version="1.0" encoding="utf-8"?>
<sst xmlns="http://schemas.openxmlformats.org/spreadsheetml/2006/main" count="267" uniqueCount="157">
  <si>
    <t>SEQ</t>
  </si>
  <si>
    <t>Etapa</t>
  </si>
  <si>
    <t>Descripción</t>
  </si>
  <si>
    <t>Tipo</t>
  </si>
  <si>
    <t>Impacto</t>
  </si>
  <si>
    <t>Probabilidad</t>
  </si>
  <si>
    <t>Identificación sobre rubro</t>
  </si>
  <si>
    <t>Cambios en la legislación</t>
  </si>
  <si>
    <t>Terminación anticipada de la construcción</t>
  </si>
  <si>
    <t>Daños ambientales y/o terceros durante la operación</t>
  </si>
  <si>
    <t>Número de reses y porcinos no es el esperado</t>
  </si>
  <si>
    <t>Terminación anticipada de la delegación</t>
  </si>
  <si>
    <t>Problemas laborales</t>
  </si>
  <si>
    <t>Sobrecostos durante la construcción</t>
  </si>
  <si>
    <t>Aumento de costos fijos de la operación</t>
  </si>
  <si>
    <t>Operación</t>
  </si>
  <si>
    <t>Enfermedades del ganado afectan la calidad</t>
  </si>
  <si>
    <t>Compartido</t>
  </si>
  <si>
    <t>Transferido</t>
  </si>
  <si>
    <t>Retenido</t>
  </si>
  <si>
    <t>Terminación anticipada de la Mancomunidad por problemas políticos</t>
  </si>
  <si>
    <t>Muy probable</t>
  </si>
  <si>
    <t>Altamente probable</t>
  </si>
  <si>
    <t>Probable</t>
  </si>
  <si>
    <t>Posible</t>
  </si>
  <si>
    <t>Improbable</t>
  </si>
  <si>
    <t>Muy alto</t>
  </si>
  <si>
    <t>Alto</t>
  </si>
  <si>
    <t>Moderado</t>
  </si>
  <si>
    <t>Bajo</t>
  </si>
  <si>
    <t>Muy bajo</t>
  </si>
  <si>
    <t>Muy Alto</t>
  </si>
  <si>
    <t>Valoración</t>
  </si>
  <si>
    <t>Inversión</t>
  </si>
  <si>
    <t>Valoración riesgo</t>
  </si>
  <si>
    <t>PPR</t>
  </si>
  <si>
    <t>Rubro</t>
  </si>
  <si>
    <t>Total</t>
  </si>
  <si>
    <t>Inversión Sector Público</t>
  </si>
  <si>
    <t>TOTAL</t>
  </si>
  <si>
    <t>Inversión Gestor Privado (alianza APP)</t>
  </si>
  <si>
    <t>VAN</t>
  </si>
  <si>
    <t>Flujo total de operación</t>
  </si>
  <si>
    <t>Flujo de la participacion de trabajadores</t>
  </si>
  <si>
    <t>Flujo de caja del capital de trabajo</t>
  </si>
  <si>
    <t>Saldos capital de trabajo</t>
  </si>
  <si>
    <t xml:space="preserve">% Ventas Capital de trabajo </t>
  </si>
  <si>
    <t>Capital de trabajo</t>
  </si>
  <si>
    <t>Utilidad neta mas gasto de depreciacion</t>
  </si>
  <si>
    <t>Utilidad neta despues de impuestos</t>
  </si>
  <si>
    <t>Impuesto a la renta</t>
  </si>
  <si>
    <t>Utilidad neta despues de trabajadores</t>
  </si>
  <si>
    <t>Participacion Trabajadores</t>
  </si>
  <si>
    <t>Utilidad neta antes de Impuestos</t>
  </si>
  <si>
    <t>Canon para la EP Mancomunada</t>
  </si>
  <si>
    <t>Total Gastos</t>
  </si>
  <si>
    <t>Gastos de depreciación</t>
  </si>
  <si>
    <t>Gastos de personal</t>
  </si>
  <si>
    <t>Gastos de operación</t>
  </si>
  <si>
    <t>Gastos:</t>
  </si>
  <si>
    <t>Ingresos Totales</t>
  </si>
  <si>
    <t>CONCEPTO</t>
  </si>
  <si>
    <t>FLUJO DE CAJA DE LA OPERACIÓN</t>
  </si>
  <si>
    <t>FLUJO TOTAL DEL PROYECTO</t>
  </si>
  <si>
    <t>Flujo de caja de operación</t>
  </si>
  <si>
    <t>Flujo de caja de inversion</t>
  </si>
  <si>
    <t>Flujo total</t>
  </si>
  <si>
    <t>Tasa Interna de retorno</t>
  </si>
  <si>
    <t>CALCULO DE LA TASA REQUERIDA POR EL INVERSIONISTA</t>
  </si>
  <si>
    <t>Tasa libre de riesgo (Bonos USA)</t>
  </si>
  <si>
    <t>https://ycharts.com/indicators/10_year_treasury_rate</t>
  </si>
  <si>
    <t>Rendimiento del mercado (USA)</t>
  </si>
  <si>
    <t>https://www.money-zine.com/calculators/investment-calculators/capm-calculator/</t>
  </si>
  <si>
    <t>Beta</t>
  </si>
  <si>
    <t>http://pages.stern.nyu.edu/~adamodar/New_Home_Page/datafile/Betas.html</t>
  </si>
  <si>
    <t>Riesgo pais</t>
  </si>
  <si>
    <t>https://contenido.bce.fin.ec/resumen_ticker.php?ticker_value=riesgo_pais</t>
  </si>
  <si>
    <t>Tasa final requerida</t>
  </si>
  <si>
    <t>Tasa final requerida Ecuador</t>
  </si>
  <si>
    <t>Tasa de descuento del proyecto</t>
  </si>
  <si>
    <t>Valoración riesgos</t>
  </si>
  <si>
    <t>Valor</t>
  </si>
  <si>
    <t>APP</t>
  </si>
  <si>
    <t>VPD</t>
  </si>
  <si>
    <t>Mapa de riesgos</t>
  </si>
  <si>
    <t>Probabilidad de impacto</t>
  </si>
  <si>
    <t>Impacto del riesgo</t>
  </si>
  <si>
    <t>ID</t>
  </si>
  <si>
    <t>Identificación de riesgos EP Faenamiento del Trópico Húmedo</t>
  </si>
  <si>
    <t>Valores por rubro</t>
  </si>
  <si>
    <t>Ingresos</t>
  </si>
  <si>
    <t>FLUJO DE CAJA INCREMENTAL ALTERNATIVA 3</t>
  </si>
  <si>
    <t>Entradas de efectivo por ingresos incrementales</t>
  </si>
  <si>
    <t>Salidas de efectivo</t>
  </si>
  <si>
    <t>COSTOS DE INVERSIÓN</t>
  </si>
  <si>
    <t>COSTOS DE OPERACIÓN Y MANTENIMIENTO</t>
  </si>
  <si>
    <t>COSTOS DE EQUIPO TÉCNICO CLAVE</t>
  </si>
  <si>
    <t>Inversion estudio Alianza</t>
  </si>
  <si>
    <t>Total salidas de efectivo</t>
  </si>
  <si>
    <t>Flujo neto</t>
  </si>
  <si>
    <t>TIR</t>
  </si>
  <si>
    <t>Consecuencia</t>
  </si>
  <si>
    <t>Cambios en los diseños</t>
  </si>
  <si>
    <t>Sobrecostos</t>
  </si>
  <si>
    <t>Aumento en cantidades de obra</t>
  </si>
  <si>
    <t>Aumento en precios</t>
  </si>
  <si>
    <t>Atrasos en la construcción/No ejecución del Plan de Inversiones</t>
  </si>
  <si>
    <t>Incrementos operacionales</t>
  </si>
  <si>
    <t>Disminuciones del nivel de servicio</t>
  </si>
  <si>
    <t>Discontinuidad del servicio</t>
  </si>
  <si>
    <t>Fuerza Mayor</t>
  </si>
  <si>
    <t>No se puedan desmontar subsidios</t>
  </si>
  <si>
    <t>Disminución de Ingresos</t>
  </si>
  <si>
    <t>Calculo de la tasa de descuento</t>
  </si>
  <si>
    <t>Tasa libre de riesgo</t>
  </si>
  <si>
    <t>https://datosmacro.expansion.com/bono/usa</t>
  </si>
  <si>
    <t>Tasa de rendimiento del mercado</t>
  </si>
  <si>
    <t>https://www.investopedia.com/ask/answers/042415/what-average-annual-return-sp-500.asp</t>
  </si>
  <si>
    <t>Riesgo pais Ecuador</t>
  </si>
  <si>
    <t>(Banco Central del Ecuador)</t>
  </si>
  <si>
    <t>https://www.bce.fin.ec/index.php/informacioneconomica/</t>
  </si>
  <si>
    <t>Tasa de descuento</t>
  </si>
  <si>
    <t>VAN Escenario 1</t>
  </si>
  <si>
    <t>VAM Escenario 2</t>
  </si>
  <si>
    <t>The S&amp;P 500 Index originally began in 1926 as the "Composite Index" comprised of only 90 stocks. According to historical records, the average annual return since its inception in 1926 through 2018 is approximately 10%. The average annual return since adopting 500 stocks into the index in 1957 through 2018 is roughly 8% (7.96%).</t>
  </si>
  <si>
    <t>promedio</t>
  </si>
  <si>
    <t>Suma Sobrecostos</t>
  </si>
  <si>
    <t>Suma Disminución Ingresos</t>
  </si>
  <si>
    <t>Costos de Operación y Mantenimiento</t>
  </si>
  <si>
    <t>Costos de Administración</t>
  </si>
  <si>
    <t>Alianza</t>
  </si>
  <si>
    <t>Concepto</t>
  </si>
  <si>
    <t>Porcentaje</t>
  </si>
  <si>
    <t>% del Valor de las inversiones a ser financiados por deuda</t>
  </si>
  <si>
    <t>% del Valor de las inversiones a ser financiados por fondos propios</t>
  </si>
  <si>
    <t>Tasa de la Deuda</t>
  </si>
  <si>
    <t>Tasa del Costo del Capital</t>
  </si>
  <si>
    <t>Costo ponderado del Capital</t>
  </si>
  <si>
    <t>Costo ponderado de la Deuda</t>
  </si>
  <si>
    <t>Costo Promedio Ponderado del Capital</t>
  </si>
  <si>
    <t>5.  CALCULO INGRESO INCREMENTAL POR REDUCCION SUBSIDIOS TARIFA</t>
  </si>
  <si>
    <t>Calcular cuanto da la reducción al 10%, al 15% y al 20%</t>
  </si>
  <si>
    <t>Para el calculo del ingreso incremental considerar el 10%</t>
  </si>
  <si>
    <t>Valor Base</t>
  </si>
  <si>
    <t>US$/año</t>
  </si>
  <si>
    <t>Este valor es calculado con los subsidios actuales, pero usando los bloques de consumo ARCA</t>
  </si>
  <si>
    <t>Ingreso incremental anual</t>
  </si>
  <si>
    <t>Ingreso Incremental por diez años</t>
  </si>
  <si>
    <t>Subsidios disminuidos en 10%</t>
  </si>
  <si>
    <t xml:space="preserve">Fuente: </t>
  </si>
  <si>
    <t>Calculos 4 Pliego Tarifario</t>
  </si>
  <si>
    <t>Valor presente neto de las entradas de efectivo del proyecto</t>
  </si>
  <si>
    <t>Valor presente neto de las salidas de efectivo del proyecto</t>
  </si>
  <si>
    <t>VNA del Proyecto</t>
  </si>
  <si>
    <t>VNA Inversión</t>
  </si>
  <si>
    <t>VNA Operación</t>
  </si>
  <si>
    <t>Iversión y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</si>
</sst>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 &quot;$&quot;* #,##0.00_ ;_ &quot;$&quot;* \-#,##0.00_ ;_ &quot;$&quot;* &quot;-&quot;??_ ;_ @_ "/>
    <numFmt numFmtId="43" formatCode="_ * #,##0.00_ ;_ * \-#,##0.00_ ;_ * &quot;-&quot;??_ ;_ @_ "/>
    <numFmt numFmtId="164" formatCode="_-* #,##0.00\ _€_-;\-* #,##0.00\ _€_-;_-* &quot;-&quot;??\ _€_-;_-@_-"/>
    <numFmt numFmtId="165" formatCode="_-* #,##0.00000\ _€_-;\-* #,##0.00000\ _€_-;_-* &quot;-&quot;??\ _€_-;_-@_-"/>
    <numFmt numFmtId="166" formatCode="_ * #,##0.000_ ;_ * \-#,##0.000_ ;_ * &quot;-&quot;??_ ;_ @_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9"/>
      <color theme="1"/>
      <name val="Arial"/>
      <family val="2"/>
    </font>
    <font>
      <sz val="9"/>
      <color theme="1"/>
      <name val="Arial"/>
      <family val="2"/>
    </font>
    <font>
      <b/>
      <sz val="11"/>
      <name val="Calibri"/>
      <family val="2"/>
      <scheme val="minor"/>
    </font>
    <font>
      <sz val="10"/>
      <color theme="1"/>
      <name val="Tahoma"/>
      <family val="2"/>
    </font>
    <font>
      <u/>
      <sz val="11"/>
      <color theme="10"/>
      <name val="Calibri"/>
      <family val="2"/>
      <scheme val="minor"/>
    </font>
    <font>
      <sz val="8.8000000000000007"/>
      <color rgb="FF333333"/>
      <name val="Arial"/>
      <family val="2"/>
    </font>
    <font>
      <sz val="8.8000000000000007"/>
      <color rgb="FF6A9C00"/>
      <name val="Arial"/>
      <family val="2"/>
    </font>
    <font>
      <sz val="8.8000000000000007"/>
      <color rgb="FFB53F1B"/>
      <name val="Arial"/>
      <family val="2"/>
    </font>
  </fonts>
  <fills count="18">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0E4D3"/>
        <bgColor indexed="64"/>
      </patternFill>
    </fill>
    <fill>
      <patternFill patternType="solid">
        <fgColor rgb="FFF5F5F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B8B2AD"/>
      </right>
      <top style="medium">
        <color rgb="FFB8B2AD"/>
      </top>
      <bottom/>
      <diagonal/>
    </border>
    <border>
      <left style="medium">
        <color rgb="FFB8B2AD"/>
      </left>
      <right/>
      <top/>
      <bottom/>
      <diagonal/>
    </border>
    <border>
      <left style="medium">
        <color rgb="FFB8B2AD"/>
      </left>
      <right/>
      <top style="medium">
        <color rgb="FFB8B2AD"/>
      </top>
      <bottom/>
      <diagonal/>
    </border>
    <border>
      <left/>
      <right/>
      <top style="medium">
        <color rgb="FFB8B2AD"/>
      </top>
      <bottom/>
      <diagonal/>
    </border>
    <border>
      <left style="medium">
        <color rgb="FFB8B2AD"/>
      </left>
      <right/>
      <top style="medium">
        <color rgb="FFB8B2AD"/>
      </top>
      <bottom style="medium">
        <color rgb="FFB8B2AD"/>
      </bottom>
      <diagonal/>
    </border>
    <border>
      <left/>
      <right/>
      <top style="medium">
        <color rgb="FFB8B2AD"/>
      </top>
      <bottom style="medium">
        <color rgb="FFB8B2AD"/>
      </bottom>
      <diagonal/>
    </border>
    <border>
      <left/>
      <right style="medium">
        <color rgb="FFB8B2AD"/>
      </right>
      <top style="medium">
        <color rgb="FFB8B2AD"/>
      </top>
      <bottom style="medium">
        <color rgb="FFB8B2AD"/>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158">
    <xf numFmtId="0" fontId="0" fillId="0" borderId="0" xfId="0"/>
    <xf numFmtId="0" fontId="2" fillId="0" borderId="0" xfId="0" applyFont="1"/>
    <xf numFmtId="0" fontId="0" fillId="0" borderId="1" xfId="0" applyBorder="1"/>
    <xf numFmtId="0" fontId="2" fillId="4" borderId="1" xfId="0" applyFont="1" applyFill="1" applyBorder="1"/>
    <xf numFmtId="164" fontId="3" fillId="0" borderId="1" xfId="1" applyFont="1" applyBorder="1"/>
    <xf numFmtId="0" fontId="3" fillId="0" borderId="1" xfId="0" applyFont="1" applyBorder="1"/>
    <xf numFmtId="0" fontId="4" fillId="8" borderId="1" xfId="0" applyFont="1" applyFill="1" applyBorder="1"/>
    <xf numFmtId="0" fontId="4" fillId="9" borderId="1" xfId="0" applyFont="1" applyFill="1" applyBorder="1"/>
    <xf numFmtId="164" fontId="4" fillId="9" borderId="1" xfId="0" applyNumberFormat="1" applyFont="1" applyFill="1" applyBorder="1"/>
    <xf numFmtId="0" fontId="3" fillId="0" borderId="1" xfId="0" applyFont="1" applyFill="1" applyBorder="1"/>
    <xf numFmtId="164" fontId="3" fillId="0" borderId="1" xfId="1" applyFont="1" applyFill="1" applyBorder="1"/>
    <xf numFmtId="0" fontId="4" fillId="2" borderId="1" xfId="0" applyFont="1" applyFill="1" applyBorder="1"/>
    <xf numFmtId="164" fontId="4" fillId="2" borderId="1" xfId="1" applyFont="1" applyFill="1" applyBorder="1"/>
    <xf numFmtId="10" fontId="0" fillId="0" borderId="0" xfId="0" applyNumberFormat="1"/>
    <xf numFmtId="10" fontId="0" fillId="0" borderId="0" xfId="2" applyNumberFormat="1" applyFont="1"/>
    <xf numFmtId="43" fontId="2" fillId="4" borderId="1" xfId="0" applyNumberFormat="1" applyFont="1" applyFill="1" applyBorder="1"/>
    <xf numFmtId="43" fontId="0" fillId="0" borderId="1" xfId="0" applyNumberFormat="1" applyBorder="1"/>
    <xf numFmtId="0" fontId="0" fillId="0" borderId="1" xfId="0" applyFill="1" applyBorder="1" applyAlignment="1">
      <alignment wrapText="1"/>
    </xf>
    <xf numFmtId="0" fontId="0" fillId="0" borderId="1" xfId="0" applyBorder="1" applyAlignment="1">
      <alignment wrapText="1"/>
    </xf>
    <xf numFmtId="10" fontId="0" fillId="0" borderId="1" xfId="2" applyNumberFormat="1" applyFont="1" applyBorder="1"/>
    <xf numFmtId="0" fontId="2" fillId="0" borderId="1" xfId="0" applyFont="1" applyBorder="1" applyAlignment="1">
      <alignment wrapText="1"/>
    </xf>
    <xf numFmtId="43" fontId="0" fillId="0" borderId="1" xfId="3" applyFont="1" applyBorder="1"/>
    <xf numFmtId="43" fontId="2" fillId="0" borderId="1" xfId="3"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2" fillId="5" borderId="1" xfId="0" applyFont="1" applyFill="1" applyBorder="1" applyAlignment="1">
      <alignment horizontal="center"/>
    </xf>
    <xf numFmtId="0" fontId="0" fillId="0" borderId="0" xfId="0" applyAlignment="1">
      <alignment wrapText="1"/>
    </xf>
    <xf numFmtId="43" fontId="2" fillId="0" borderId="1" xfId="0" applyNumberFormat="1" applyFont="1" applyBorder="1"/>
    <xf numFmtId="10" fontId="2" fillId="4" borderId="1" xfId="2" applyNumberFormat="1" applyFont="1" applyFill="1" applyBorder="1"/>
    <xf numFmtId="0" fontId="2" fillId="0" borderId="0" xfId="0" applyFont="1" applyFill="1" applyBorder="1" applyAlignment="1">
      <alignment wrapText="1"/>
    </xf>
    <xf numFmtId="8" fontId="2" fillId="0" borderId="0" xfId="2" applyNumberFormat="1" applyFont="1" applyFill="1" applyBorder="1"/>
    <xf numFmtId="10" fontId="0" fillId="0" borderId="1" xfId="0" applyNumberFormat="1" applyBorder="1"/>
    <xf numFmtId="0" fontId="2" fillId="0" borderId="1" xfId="0" applyFont="1" applyBorder="1"/>
    <xf numFmtId="10" fontId="2" fillId="0" borderId="1" xfId="2" applyNumberFormat="1" applyFont="1" applyBorder="1"/>
    <xf numFmtId="0" fontId="0" fillId="0" borderId="1" xfId="0" applyFill="1" applyBorder="1"/>
    <xf numFmtId="10" fontId="2" fillId="0" borderId="1" xfId="0" applyNumberFormat="1" applyFont="1" applyBorder="1"/>
    <xf numFmtId="43" fontId="0" fillId="0" borderId="0" xfId="3" applyFont="1"/>
    <xf numFmtId="43" fontId="0" fillId="0" borderId="0" xfId="0" applyNumberFormat="1"/>
    <xf numFmtId="8" fontId="2" fillId="0" borderId="0" xfId="0" applyNumberFormat="1" applyFont="1"/>
    <xf numFmtId="0" fontId="4" fillId="0" borderId="1" xfId="0" applyFont="1" applyFill="1" applyBorder="1"/>
    <xf numFmtId="164" fontId="0" fillId="0" borderId="1" xfId="0" applyNumberFormat="1" applyBorder="1"/>
    <xf numFmtId="164" fontId="2" fillId="0" borderId="1" xfId="1" applyFont="1" applyBorder="1"/>
    <xf numFmtId="164" fontId="4" fillId="0" borderId="1" xfId="0" applyNumberFormat="1" applyFont="1" applyFill="1" applyBorder="1"/>
    <xf numFmtId="165" fontId="0" fillId="0" borderId="0" xfId="0" applyNumberFormat="1"/>
    <xf numFmtId="0" fontId="2" fillId="7" borderId="1" xfId="0" applyFont="1" applyFill="1" applyBorder="1"/>
    <xf numFmtId="164" fontId="0" fillId="0" borderId="1" xfId="1" applyFont="1" applyBorder="1"/>
    <xf numFmtId="0" fontId="2" fillId="7" borderId="1" xfId="0" applyFont="1" applyFill="1" applyBorder="1" applyAlignment="1">
      <alignment wrapText="1"/>
    </xf>
    <xf numFmtId="0" fontId="0" fillId="0" borderId="0" xfId="0" applyAlignment="1">
      <alignment textRotation="45"/>
    </xf>
    <xf numFmtId="0" fontId="2" fillId="8" borderId="13" xfId="0" applyFont="1" applyFill="1" applyBorder="1"/>
    <xf numFmtId="0" fontId="2" fillId="8" borderId="14" xfId="0" applyFont="1" applyFill="1" applyBorder="1"/>
    <xf numFmtId="0" fontId="2" fillId="8" borderId="15" xfId="0" applyFont="1" applyFill="1" applyBorder="1"/>
    <xf numFmtId="0" fontId="2" fillId="6" borderId="6" xfId="0" applyFont="1" applyFill="1" applyBorder="1"/>
    <xf numFmtId="0" fontId="0" fillId="0" borderId="7" xfId="0" applyBorder="1"/>
    <xf numFmtId="0" fontId="0" fillId="0" borderId="8" xfId="0" applyBorder="1"/>
    <xf numFmtId="0" fontId="2" fillId="6" borderId="17" xfId="0" applyFont="1" applyFill="1" applyBorder="1"/>
    <xf numFmtId="0" fontId="0" fillId="0" borderId="18" xfId="0" applyBorder="1"/>
    <xf numFmtId="0" fontId="2" fillId="6" borderId="9" xfId="0" applyFont="1" applyFill="1" applyBorder="1"/>
    <xf numFmtId="0" fontId="0" fillId="0" borderId="10" xfId="0" applyBorder="1"/>
    <xf numFmtId="0" fontId="0" fillId="0" borderId="11" xfId="0" applyBorder="1"/>
    <xf numFmtId="0" fontId="2" fillId="12" borderId="1" xfId="0" applyFont="1" applyFill="1" applyBorder="1" applyAlignment="1">
      <alignment horizontal="center"/>
    </xf>
    <xf numFmtId="164" fontId="2" fillId="0" borderId="0" xfId="0" applyNumberFormat="1" applyFont="1"/>
    <xf numFmtId="0" fontId="8" fillId="0" borderId="0" xfId="0" applyFont="1"/>
    <xf numFmtId="164" fontId="8" fillId="0" borderId="0" xfId="0" applyNumberFormat="1" applyFont="1"/>
    <xf numFmtId="0" fontId="2" fillId="0" borderId="1" xfId="3" applyNumberFormat="1" applyFont="1" applyBorder="1" applyAlignment="1">
      <alignment horizontal="center"/>
    </xf>
    <xf numFmtId="43" fontId="2" fillId="0" borderId="19" xfId="3" applyFont="1" applyBorder="1" applyAlignment="1">
      <alignment horizontal="center"/>
    </xf>
    <xf numFmtId="43" fontId="0" fillId="0" borderId="1" xfId="3" applyFont="1" applyBorder="1" applyAlignment="1">
      <alignment horizontal="center"/>
    </xf>
    <xf numFmtId="43" fontId="2" fillId="0" borderId="1" xfId="3" applyFont="1" applyBorder="1" applyAlignment="1">
      <alignment horizontal="center"/>
    </xf>
    <xf numFmtId="0" fontId="2" fillId="3" borderId="19" xfId="0" applyFont="1" applyFill="1" applyBorder="1"/>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64" fontId="3" fillId="0" borderId="1" xfId="0" applyNumberFormat="1" applyFont="1" applyBorder="1"/>
    <xf numFmtId="9" fontId="0" fillId="0" borderId="1" xfId="0" applyNumberFormat="1" applyBorder="1"/>
    <xf numFmtId="0" fontId="13" fillId="0" borderId="1" xfId="5" applyBorder="1"/>
    <xf numFmtId="0" fontId="0" fillId="15" borderId="1" xfId="0" applyFill="1" applyBorder="1"/>
    <xf numFmtId="10" fontId="0" fillId="15" borderId="1" xfId="0" applyNumberFormat="1" applyFill="1" applyBorder="1"/>
    <xf numFmtId="0" fontId="0" fillId="2" borderId="1" xfId="0" applyFill="1" applyBorder="1"/>
    <xf numFmtId="166" fontId="0" fillId="2" borderId="1" xfId="3" applyNumberFormat="1" applyFont="1" applyFill="1" applyBorder="1"/>
    <xf numFmtId="10" fontId="14" fillId="16" borderId="1" xfId="0" applyNumberFormat="1" applyFont="1" applyFill="1" applyBorder="1" applyAlignment="1">
      <alignment horizontal="right" vertical="top"/>
    </xf>
    <xf numFmtId="0" fontId="15" fillId="16" borderId="1" xfId="0" applyFont="1" applyFill="1" applyBorder="1" applyAlignment="1">
      <alignment horizontal="right" vertical="top"/>
    </xf>
    <xf numFmtId="0" fontId="0" fillId="0" borderId="20" xfId="0" applyBorder="1"/>
    <xf numFmtId="166" fontId="0" fillId="2" borderId="1" xfId="0" applyNumberFormat="1" applyFill="1" applyBorder="1"/>
    <xf numFmtId="14" fontId="14" fillId="0" borderId="1" xfId="0" applyNumberFormat="1" applyFont="1" applyBorder="1" applyAlignment="1">
      <alignment horizontal="right" vertical="top"/>
    </xf>
    <xf numFmtId="10" fontId="14" fillId="0" borderId="1" xfId="0" applyNumberFormat="1" applyFont="1" applyBorder="1" applyAlignment="1">
      <alignment horizontal="right" vertical="top"/>
    </xf>
    <xf numFmtId="0" fontId="15" fillId="0" borderId="20" xfId="0" applyFont="1" applyBorder="1" applyAlignment="1">
      <alignment horizontal="right" vertical="top"/>
    </xf>
    <xf numFmtId="0" fontId="13" fillId="0" borderId="0" xfId="5"/>
    <xf numFmtId="14" fontId="14" fillId="16" borderId="21" xfId="0" applyNumberFormat="1" applyFont="1" applyFill="1" applyBorder="1" applyAlignment="1">
      <alignment horizontal="right" vertical="top"/>
    </xf>
    <xf numFmtId="10" fontId="14" fillId="16" borderId="0" xfId="0" applyNumberFormat="1" applyFont="1" applyFill="1" applyAlignment="1">
      <alignment horizontal="right" vertical="top"/>
    </xf>
    <xf numFmtId="0" fontId="14" fillId="16" borderId="20" xfId="0" applyFont="1" applyFill="1" applyBorder="1" applyAlignment="1">
      <alignment horizontal="right" vertical="top"/>
    </xf>
    <xf numFmtId="14" fontId="14" fillId="0" borderId="22" xfId="0" applyNumberFormat="1" applyFont="1" applyBorder="1" applyAlignment="1">
      <alignment horizontal="right" vertical="top"/>
    </xf>
    <xf numFmtId="10" fontId="14" fillId="0" borderId="23" xfId="0" applyNumberFormat="1" applyFont="1" applyBorder="1" applyAlignment="1">
      <alignment horizontal="right" vertical="top"/>
    </xf>
    <xf numFmtId="14" fontId="14" fillId="16" borderId="22" xfId="0" applyNumberFormat="1" applyFont="1" applyFill="1" applyBorder="1" applyAlignment="1">
      <alignment horizontal="right" vertical="top"/>
    </xf>
    <xf numFmtId="10" fontId="14" fillId="16" borderId="23" xfId="0" applyNumberFormat="1" applyFont="1" applyFill="1" applyBorder="1" applyAlignment="1">
      <alignment horizontal="right" vertical="top"/>
    </xf>
    <xf numFmtId="0" fontId="16" fillId="16" borderId="20" xfId="0" applyFont="1" applyFill="1" applyBorder="1" applyAlignment="1">
      <alignment horizontal="right" vertical="top"/>
    </xf>
    <xf numFmtId="0" fontId="15" fillId="16" borderId="20" xfId="0" applyFont="1" applyFill="1" applyBorder="1" applyAlignment="1">
      <alignment horizontal="right" vertical="top"/>
    </xf>
    <xf numFmtId="14" fontId="14" fillId="17" borderId="24" xfId="0" applyNumberFormat="1" applyFont="1" applyFill="1" applyBorder="1" applyAlignment="1">
      <alignment horizontal="right" vertical="top"/>
    </xf>
    <xf numFmtId="10" fontId="14" fillId="17" borderId="25" xfId="0" applyNumberFormat="1" applyFont="1" applyFill="1" applyBorder="1" applyAlignment="1">
      <alignment horizontal="right" vertical="top"/>
    </xf>
    <xf numFmtId="0" fontId="15" fillId="17" borderId="26" xfId="0" applyFont="1" applyFill="1" applyBorder="1" applyAlignment="1">
      <alignment horizontal="right" vertical="top"/>
    </xf>
    <xf numFmtId="0" fontId="0" fillId="0" borderId="1" xfId="0" applyBorder="1" applyAlignment="1">
      <alignment horizontal="center" wrapText="1"/>
    </xf>
    <xf numFmtId="0" fontId="0" fillId="0" borderId="1" xfId="0" applyBorder="1" applyAlignment="1">
      <alignment horizontal="center" vertical="center"/>
    </xf>
    <xf numFmtId="8" fontId="0" fillId="0" borderId="1" xfId="4" applyNumberFormat="1" applyFont="1" applyBorder="1"/>
    <xf numFmtId="44" fontId="0" fillId="0" borderId="0" xfId="0" applyNumberFormat="1"/>
    <xf numFmtId="0" fontId="0" fillId="0" borderId="1" xfId="0" applyBorder="1" applyAlignment="1">
      <alignment horizontal="center"/>
    </xf>
    <xf numFmtId="43" fontId="0" fillId="0" borderId="1" xfId="0" applyNumberFormat="1" applyBorder="1" applyAlignment="1">
      <alignment horizontal="center"/>
    </xf>
    <xf numFmtId="9" fontId="0" fillId="0" borderId="1" xfId="2" applyFont="1" applyBorder="1"/>
    <xf numFmtId="43" fontId="0" fillId="0" borderId="7" xfId="0" applyNumberFormat="1" applyBorder="1"/>
    <xf numFmtId="43" fontId="0" fillId="0" borderId="8" xfId="0" applyNumberFormat="1" applyBorder="1"/>
    <xf numFmtId="43" fontId="0" fillId="0" borderId="10" xfId="0" applyNumberFormat="1" applyBorder="1"/>
    <xf numFmtId="43" fontId="0" fillId="0" borderId="11" xfId="0" applyNumberFormat="1" applyBorder="1"/>
    <xf numFmtId="43" fontId="0" fillId="0" borderId="27" xfId="0" applyNumberFormat="1" applyBorder="1"/>
    <xf numFmtId="43" fontId="0" fillId="0" borderId="28" xfId="0" applyNumberFormat="1" applyBorder="1"/>
    <xf numFmtId="0" fontId="0" fillId="0" borderId="29" xfId="0" applyBorder="1"/>
    <xf numFmtId="0" fontId="0" fillId="0" borderId="30" xfId="0" applyBorder="1"/>
    <xf numFmtId="43" fontId="0" fillId="0" borderId="17" xfId="3" applyFont="1" applyBorder="1"/>
    <xf numFmtId="43" fontId="9" fillId="0" borderId="18" xfId="3" applyFont="1" applyFill="1" applyBorder="1" applyAlignment="1">
      <alignment horizontal="center"/>
    </xf>
    <xf numFmtId="43" fontId="2" fillId="0" borderId="17" xfId="3" applyFont="1" applyBorder="1"/>
    <xf numFmtId="43" fontId="9" fillId="0" borderId="34" xfId="3" applyFont="1" applyFill="1" applyBorder="1" applyAlignment="1">
      <alignment horizontal="center"/>
    </xf>
    <xf numFmtId="43" fontId="10" fillId="0" borderId="18" xfId="3" applyFont="1" applyFill="1" applyBorder="1" applyAlignment="1">
      <alignment horizontal="center"/>
    </xf>
    <xf numFmtId="43" fontId="0" fillId="0" borderId="18" xfId="3" applyFont="1" applyFill="1" applyBorder="1"/>
    <xf numFmtId="43" fontId="0" fillId="0" borderId="17" xfId="3" applyFont="1" applyFill="1" applyBorder="1"/>
    <xf numFmtId="43" fontId="0" fillId="0" borderId="18" xfId="3" applyFont="1" applyBorder="1"/>
    <xf numFmtId="43" fontId="0" fillId="0" borderId="18" xfId="0" applyNumberFormat="1" applyBorder="1"/>
    <xf numFmtId="43" fontId="2" fillId="0" borderId="35" xfId="3" applyFont="1" applyBorder="1"/>
    <xf numFmtId="43" fontId="2" fillId="0" borderId="36" xfId="3" applyFont="1" applyBorder="1"/>
    <xf numFmtId="43" fontId="2" fillId="0" borderId="37" xfId="3" applyFont="1" applyBorder="1"/>
    <xf numFmtId="43" fontId="0" fillId="0" borderId="13" xfId="3" applyFont="1" applyBorder="1"/>
    <xf numFmtId="10" fontId="11" fillId="0" borderId="15" xfId="2" applyNumberFormat="1" applyFont="1" applyBorder="1"/>
    <xf numFmtId="9" fontId="0" fillId="0" borderId="0" xfId="0" applyNumberFormat="1"/>
    <xf numFmtId="43" fontId="0" fillId="0" borderId="0" xfId="3" applyFont="1" applyBorder="1"/>
    <xf numFmtId="0" fontId="0" fillId="0" borderId="0" xfId="0" applyBorder="1"/>
    <xf numFmtId="8" fontId="0" fillId="0" borderId="1" xfId="0" applyNumberFormat="1" applyBorder="1"/>
    <xf numFmtId="0" fontId="0" fillId="0" borderId="16" xfId="0" applyBorder="1"/>
    <xf numFmtId="0" fontId="0" fillId="0" borderId="12" xfId="0" applyBorder="1"/>
    <xf numFmtId="8" fontId="0" fillId="0" borderId="0" xfId="0" applyNumberFormat="1" applyBorder="1"/>
    <xf numFmtId="10" fontId="0" fillId="0" borderId="0" xfId="0" applyNumberFormat="1" applyBorder="1"/>
    <xf numFmtId="8" fontId="0" fillId="0" borderId="29" xfId="0" applyNumberFormat="1" applyBorder="1"/>
    <xf numFmtId="8" fontId="0" fillId="0" borderId="30" xfId="0" applyNumberFormat="1" applyBorder="1"/>
    <xf numFmtId="0" fontId="6" fillId="10" borderId="13" xfId="0" applyFont="1" applyFill="1" applyBorder="1" applyAlignment="1">
      <alignment horizontal="center"/>
    </xf>
    <xf numFmtId="0" fontId="6" fillId="10" borderId="14" xfId="0" applyFont="1" applyFill="1" applyBorder="1" applyAlignment="1">
      <alignment horizontal="center"/>
    </xf>
    <xf numFmtId="0" fontId="6" fillId="10" borderId="15" xfId="0" applyFont="1" applyFill="1" applyBorder="1" applyAlignment="1">
      <alignment horizontal="center"/>
    </xf>
    <xf numFmtId="0" fontId="6" fillId="6" borderId="16" xfId="0" applyFont="1" applyFill="1" applyBorder="1" applyAlignment="1">
      <alignment horizontal="center" vertical="center"/>
    </xf>
    <xf numFmtId="0" fontId="6" fillId="6" borderId="12" xfId="0" applyFont="1" applyFill="1" applyBorder="1" applyAlignment="1">
      <alignment horizontal="center" vertical="center"/>
    </xf>
    <xf numFmtId="0" fontId="7" fillId="0" borderId="0" xfId="0" applyFont="1" applyAlignment="1">
      <alignment horizontal="center" vertical="center" textRotation="255" wrapText="1"/>
    </xf>
    <xf numFmtId="0" fontId="2" fillId="6" borderId="5" xfId="0" applyFont="1" applyFill="1" applyBorder="1" applyAlignment="1">
      <alignment horizontal="center"/>
    </xf>
    <xf numFmtId="0" fontId="2" fillId="10" borderId="5" xfId="0" applyFont="1" applyFill="1" applyBorder="1" applyAlignment="1">
      <alignment horizontal="center"/>
    </xf>
    <xf numFmtId="0" fontId="5" fillId="11" borderId="1" xfId="0" applyFont="1" applyFill="1" applyBorder="1" applyAlignment="1">
      <alignment horizontal="center"/>
    </xf>
    <xf numFmtId="0" fontId="2" fillId="11" borderId="1" xfId="0" applyFont="1" applyFill="1" applyBorder="1" applyAlignment="1">
      <alignment horizontal="center"/>
    </xf>
    <xf numFmtId="0" fontId="2" fillId="8" borderId="1" xfId="0" applyFont="1" applyFill="1" applyBorder="1" applyAlignment="1">
      <alignment horizontal="center"/>
    </xf>
    <xf numFmtId="43" fontId="6" fillId="13" borderId="31" xfId="3" applyFont="1" applyFill="1" applyBorder="1" applyAlignment="1">
      <alignment horizontal="center"/>
    </xf>
    <xf numFmtId="43" fontId="6" fillId="13" borderId="32" xfId="3" applyFont="1" applyFill="1" applyBorder="1" applyAlignment="1">
      <alignment horizontal="center"/>
    </xf>
    <xf numFmtId="43" fontId="6" fillId="13" borderId="33" xfId="3" applyFont="1" applyFill="1" applyBorder="1" applyAlignment="1">
      <alignment horizontal="center"/>
    </xf>
    <xf numFmtId="0" fontId="2" fillId="14" borderId="2" xfId="0" applyFont="1" applyFill="1" applyBorder="1" applyAlignment="1">
      <alignment horizontal="center"/>
    </xf>
    <xf numFmtId="0" fontId="2" fillId="14" borderId="3" xfId="0" applyFont="1" applyFill="1" applyBorder="1" applyAlignment="1">
      <alignment horizontal="center"/>
    </xf>
    <xf numFmtId="0" fontId="2" fillId="14" borderId="4" xfId="0" applyFont="1" applyFill="1" applyBorder="1" applyAlignment="1">
      <alignment horizontal="center"/>
    </xf>
    <xf numFmtId="0" fontId="6" fillId="13" borderId="0" xfId="0" applyFont="1" applyFill="1" applyAlignment="1">
      <alignment horizontal="center"/>
    </xf>
    <xf numFmtId="0" fontId="5" fillId="4" borderId="0" xfId="0" applyFont="1" applyFill="1" applyAlignment="1">
      <alignment horizont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6">
    <cellStyle name="Hipervínculo" xfId="5" builtinId="8"/>
    <cellStyle name="Millares" xfId="1" builtinId="3"/>
    <cellStyle name="Millares 2" xfId="3" xr:uid="{00000000-0005-0000-0000-000001000000}"/>
    <cellStyle name="Moneda" xfId="4"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91440</xdr:rowOff>
    </xdr:from>
    <xdr:to>
      <xdr:col>1</xdr:col>
      <xdr:colOff>1066800</xdr:colOff>
      <xdr:row>3</xdr:row>
      <xdr:rowOff>175754</xdr:rowOff>
    </xdr:to>
    <xdr:pic>
      <xdr:nvPicPr>
        <xdr:cNvPr id="2" name="Imagen 10" descr="Resultado de imagen para emapar">
          <a:extLst>
            <a:ext uri="{FF2B5EF4-FFF2-40B4-BE49-F238E27FC236}">
              <a16:creationId xmlns:a16="http://schemas.microsoft.com/office/drawing/2014/main" id="{DF30D371-3F3D-4E08-85C0-7841379F4C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1440"/>
          <a:ext cx="1733550" cy="655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278130</xdr:colOff>
      <xdr:row>0</xdr:row>
      <xdr:rowOff>57150</xdr:rowOff>
    </xdr:from>
    <xdr:to>
      <xdr:col>7</xdr:col>
      <xdr:colOff>571500</xdr:colOff>
      <xdr:row>4</xdr:row>
      <xdr:rowOff>119838</xdr:rowOff>
    </xdr:to>
    <xdr:pic>
      <xdr:nvPicPr>
        <xdr:cNvPr id="3" name="Imagen 11">
          <a:extLst>
            <a:ext uri="{FF2B5EF4-FFF2-40B4-BE49-F238E27FC236}">
              <a16:creationId xmlns:a16="http://schemas.microsoft.com/office/drawing/2014/main" id="{75161F7F-545B-495A-947D-77C437B94A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4955" y="57150"/>
          <a:ext cx="1055370" cy="824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43815</xdr:rowOff>
    </xdr:from>
    <xdr:to>
      <xdr:col>2</xdr:col>
      <xdr:colOff>447675</xdr:colOff>
      <xdr:row>3</xdr:row>
      <xdr:rowOff>128129</xdr:rowOff>
    </xdr:to>
    <xdr:pic>
      <xdr:nvPicPr>
        <xdr:cNvPr id="5" name="Imagen 10" descr="Resultado de imagen para emapar">
          <a:extLst>
            <a:ext uri="{FF2B5EF4-FFF2-40B4-BE49-F238E27FC236}">
              <a16:creationId xmlns:a16="http://schemas.microsoft.com/office/drawing/2014/main" id="{17B67212-39EB-4EB0-80AF-4F3051DC6C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815"/>
          <a:ext cx="1733550" cy="655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363855</xdr:colOff>
      <xdr:row>0</xdr:row>
      <xdr:rowOff>76200</xdr:rowOff>
    </xdr:from>
    <xdr:to>
      <xdr:col>4</xdr:col>
      <xdr:colOff>457200</xdr:colOff>
      <xdr:row>3</xdr:row>
      <xdr:rowOff>173085</xdr:rowOff>
    </xdr:to>
    <xdr:pic>
      <xdr:nvPicPr>
        <xdr:cNvPr id="6" name="Imagen 11">
          <a:extLst>
            <a:ext uri="{FF2B5EF4-FFF2-40B4-BE49-F238E27FC236}">
              <a16:creationId xmlns:a16="http://schemas.microsoft.com/office/drawing/2014/main" id="{12D35D05-4F8D-4F67-A8F1-EB8DABAE4C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97805" y="76200"/>
          <a:ext cx="855345" cy="66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1400175</xdr:colOff>
      <xdr:row>15</xdr:row>
      <xdr:rowOff>76200</xdr:rowOff>
    </xdr:from>
    <xdr:to>
      <xdr:col>2</xdr:col>
      <xdr:colOff>809625</xdr:colOff>
      <xdr:row>20</xdr:row>
      <xdr:rowOff>28575</xdr:rowOff>
    </xdr:to>
    <xdr:sp macro="" textlink="">
      <xdr:nvSpPr>
        <xdr:cNvPr id="4" name="Rectángulo redondeado 3">
          <a:extLst>
            <a:ext uri="{FF2B5EF4-FFF2-40B4-BE49-F238E27FC236}">
              <a16:creationId xmlns:a16="http://schemas.microsoft.com/office/drawing/2014/main" id="{00000000-0008-0000-0300-000004000000}"/>
            </a:ext>
          </a:extLst>
        </xdr:cNvPr>
        <xdr:cNvSpPr/>
      </xdr:nvSpPr>
      <xdr:spPr>
        <a:xfrm>
          <a:off x="2162175" y="2933700"/>
          <a:ext cx="1514475" cy="904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100"/>
            <a:t>VAN del</a:t>
          </a:r>
          <a:r>
            <a:rPr lang="es-EC" sz="1100" baseline="0"/>
            <a:t> PPR + Riesgos Compartidos + Riesgos transferidos</a:t>
          </a:r>
        </a:p>
        <a:p>
          <a:pPr algn="l"/>
          <a:endParaRPr lang="es-EC" sz="1100"/>
        </a:p>
      </xdr:txBody>
    </xdr:sp>
    <xdr:clientData/>
  </xdr:twoCellAnchor>
  <xdr:twoCellAnchor>
    <xdr:from>
      <xdr:col>2</xdr:col>
      <xdr:colOff>1438275</xdr:colOff>
      <xdr:row>15</xdr:row>
      <xdr:rowOff>95250</xdr:rowOff>
    </xdr:from>
    <xdr:to>
      <xdr:col>4</xdr:col>
      <xdr:colOff>609600</xdr:colOff>
      <xdr:row>20</xdr:row>
      <xdr:rowOff>47625</xdr:rowOff>
    </xdr:to>
    <xdr:sp macro="" textlink="">
      <xdr:nvSpPr>
        <xdr:cNvPr id="5" name="Rectángulo redondeado 4">
          <a:extLst>
            <a:ext uri="{FF2B5EF4-FFF2-40B4-BE49-F238E27FC236}">
              <a16:creationId xmlns:a16="http://schemas.microsoft.com/office/drawing/2014/main" id="{00000000-0008-0000-0300-000005000000}"/>
            </a:ext>
          </a:extLst>
        </xdr:cNvPr>
        <xdr:cNvSpPr/>
      </xdr:nvSpPr>
      <xdr:spPr>
        <a:xfrm>
          <a:off x="3476625" y="2190750"/>
          <a:ext cx="1428750" cy="904875"/>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100"/>
            <a:t>VAN de</a:t>
          </a:r>
          <a:r>
            <a:rPr lang="es-EC" sz="1100" baseline="0"/>
            <a:t> la APP+ Riesgos Compartidos + Riesgos retenidos</a:t>
          </a:r>
        </a:p>
        <a:p>
          <a:pPr algn="l"/>
          <a:endParaRPr lang="es-EC" sz="1100"/>
        </a:p>
      </xdr:txBody>
    </xdr:sp>
    <xdr:clientData/>
  </xdr:twoCellAnchor>
  <xdr:twoCellAnchor>
    <xdr:from>
      <xdr:col>4</xdr:col>
      <xdr:colOff>1419225</xdr:colOff>
      <xdr:row>15</xdr:row>
      <xdr:rowOff>114300</xdr:rowOff>
    </xdr:from>
    <xdr:to>
      <xdr:col>5</xdr:col>
      <xdr:colOff>742950</xdr:colOff>
      <xdr:row>20</xdr:row>
      <xdr:rowOff>66675</xdr:rowOff>
    </xdr:to>
    <xdr:sp macro="" textlink="">
      <xdr:nvSpPr>
        <xdr:cNvPr id="6" name="Rectángulo redondeado 5">
          <a:extLst>
            <a:ext uri="{FF2B5EF4-FFF2-40B4-BE49-F238E27FC236}">
              <a16:creationId xmlns:a16="http://schemas.microsoft.com/office/drawing/2014/main" id="{00000000-0008-0000-0300-000006000000}"/>
            </a:ext>
          </a:extLst>
        </xdr:cNvPr>
        <xdr:cNvSpPr/>
      </xdr:nvSpPr>
      <xdr:spPr>
        <a:xfrm>
          <a:off x="6543675" y="2971800"/>
          <a:ext cx="1428750" cy="904875"/>
        </a:xfrm>
        <a:prstGeom prst="round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EC" sz="2000"/>
            <a:t>VPD</a:t>
          </a:r>
          <a:endParaRPr lang="es-EC" sz="2000" baseline="0"/>
        </a:p>
        <a:p>
          <a:pPr algn="ctr"/>
          <a:endParaRPr lang="es-EC" sz="2000"/>
        </a:p>
      </xdr:txBody>
    </xdr:sp>
    <xdr:clientData/>
  </xdr:twoCellAnchor>
  <xdr:twoCellAnchor>
    <xdr:from>
      <xdr:col>2</xdr:col>
      <xdr:colOff>885825</xdr:colOff>
      <xdr:row>16</xdr:row>
      <xdr:rowOff>180975</xdr:rowOff>
    </xdr:from>
    <xdr:to>
      <xdr:col>2</xdr:col>
      <xdr:colOff>1323975</xdr:colOff>
      <xdr:row>18</xdr:row>
      <xdr:rowOff>133350</xdr:rowOff>
    </xdr:to>
    <xdr:sp macro="" textlink="">
      <xdr:nvSpPr>
        <xdr:cNvPr id="7" name="Menos 6">
          <a:extLst>
            <a:ext uri="{FF2B5EF4-FFF2-40B4-BE49-F238E27FC236}">
              <a16:creationId xmlns:a16="http://schemas.microsoft.com/office/drawing/2014/main" id="{00000000-0008-0000-0300-000007000000}"/>
            </a:ext>
          </a:extLst>
        </xdr:cNvPr>
        <xdr:cNvSpPr/>
      </xdr:nvSpPr>
      <xdr:spPr>
        <a:xfrm>
          <a:off x="2924175" y="2466975"/>
          <a:ext cx="438150" cy="333375"/>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twoCellAnchor>
    <xdr:from>
      <xdr:col>4</xdr:col>
      <xdr:colOff>704850</xdr:colOff>
      <xdr:row>16</xdr:row>
      <xdr:rowOff>171450</xdr:rowOff>
    </xdr:from>
    <xdr:to>
      <xdr:col>4</xdr:col>
      <xdr:colOff>1266825</xdr:colOff>
      <xdr:row>18</xdr:row>
      <xdr:rowOff>123825</xdr:rowOff>
    </xdr:to>
    <xdr:sp macro="" textlink="">
      <xdr:nvSpPr>
        <xdr:cNvPr id="8" name="Igual que 7">
          <a:extLst>
            <a:ext uri="{FF2B5EF4-FFF2-40B4-BE49-F238E27FC236}">
              <a16:creationId xmlns:a16="http://schemas.microsoft.com/office/drawing/2014/main" id="{00000000-0008-0000-0300-000008000000}"/>
            </a:ext>
          </a:extLst>
        </xdr:cNvPr>
        <xdr:cNvSpPr/>
      </xdr:nvSpPr>
      <xdr:spPr>
        <a:xfrm>
          <a:off x="5000625" y="2457450"/>
          <a:ext cx="561975" cy="333375"/>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solidFill>
              <a:schemeClr val="tx1"/>
            </a:solidFill>
          </a:endParaRPr>
        </a:p>
      </xdr:txBody>
    </xdr:sp>
    <xdr:clientData/>
  </xdr:twoCellAnchor>
  <xdr:twoCellAnchor>
    <xdr:from>
      <xdr:col>0</xdr:col>
      <xdr:colOff>0</xdr:colOff>
      <xdr:row>0</xdr:row>
      <xdr:rowOff>34290</xdr:rowOff>
    </xdr:from>
    <xdr:to>
      <xdr:col>1</xdr:col>
      <xdr:colOff>971550</xdr:colOff>
      <xdr:row>3</xdr:row>
      <xdr:rowOff>118604</xdr:rowOff>
    </xdr:to>
    <xdr:pic>
      <xdr:nvPicPr>
        <xdr:cNvPr id="9" name="Imagen 10" descr="Resultado de imagen para emapar">
          <a:extLst>
            <a:ext uri="{FF2B5EF4-FFF2-40B4-BE49-F238E27FC236}">
              <a16:creationId xmlns:a16="http://schemas.microsoft.com/office/drawing/2014/main" id="{9F114E32-032A-488A-B96C-7B6B70A7E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
          <a:ext cx="1733550" cy="655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30480</xdr:colOff>
      <xdr:row>0</xdr:row>
      <xdr:rowOff>57150</xdr:rowOff>
    </xdr:from>
    <xdr:to>
      <xdr:col>4</xdr:col>
      <xdr:colOff>876300</xdr:colOff>
      <xdr:row>3</xdr:row>
      <xdr:rowOff>146591</xdr:rowOff>
    </xdr:to>
    <xdr:pic>
      <xdr:nvPicPr>
        <xdr:cNvPr id="10" name="Imagen 11">
          <a:extLst>
            <a:ext uri="{FF2B5EF4-FFF2-40B4-BE49-F238E27FC236}">
              <a16:creationId xmlns:a16="http://schemas.microsoft.com/office/drawing/2014/main" id="{954ABF7D-78BB-448B-9F4C-DF7A3E184A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6255" y="57150"/>
          <a:ext cx="845820" cy="660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34290</xdr:rowOff>
    </xdr:from>
    <xdr:to>
      <xdr:col>1</xdr:col>
      <xdr:colOff>1471145</xdr:colOff>
      <xdr:row>3</xdr:row>
      <xdr:rowOff>15731</xdr:rowOff>
    </xdr:to>
    <xdr:pic>
      <xdr:nvPicPr>
        <xdr:cNvPr id="2" name="Imagen 10" descr="Resultado de imagen para emapar">
          <a:extLst>
            <a:ext uri="{FF2B5EF4-FFF2-40B4-BE49-F238E27FC236}">
              <a16:creationId xmlns:a16="http://schemas.microsoft.com/office/drawing/2014/main" id="{DD756C4D-3355-4838-935C-4578D6ACA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34290"/>
          <a:ext cx="1461620" cy="55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430530</xdr:colOff>
      <xdr:row>0</xdr:row>
      <xdr:rowOff>0</xdr:rowOff>
    </xdr:from>
    <xdr:to>
      <xdr:col>4</xdr:col>
      <xdr:colOff>482152</xdr:colOff>
      <xdr:row>3</xdr:row>
      <xdr:rowOff>123825</xdr:rowOff>
    </xdr:to>
    <xdr:pic>
      <xdr:nvPicPr>
        <xdr:cNvPr id="3" name="Imagen 11">
          <a:extLst>
            <a:ext uri="{FF2B5EF4-FFF2-40B4-BE49-F238E27FC236}">
              <a16:creationId xmlns:a16="http://schemas.microsoft.com/office/drawing/2014/main" id="{926485D3-667A-43FA-9C3C-CE3EDC921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31230" y="0"/>
          <a:ext cx="88982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699620</xdr:colOff>
      <xdr:row>2</xdr:row>
      <xdr:rowOff>171941</xdr:rowOff>
    </xdr:to>
    <xdr:pic>
      <xdr:nvPicPr>
        <xdr:cNvPr id="2" name="Imagen 10" descr="Resultado de imagen para emapar">
          <a:extLst>
            <a:ext uri="{FF2B5EF4-FFF2-40B4-BE49-F238E27FC236}">
              <a16:creationId xmlns:a16="http://schemas.microsoft.com/office/drawing/2014/main" id="{E48CB430-4E15-46A9-BCD8-82B968213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1620" cy="55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840105</xdr:colOff>
      <xdr:row>0</xdr:row>
      <xdr:rowOff>0</xdr:rowOff>
    </xdr:from>
    <xdr:to>
      <xdr:col>4</xdr:col>
      <xdr:colOff>672652</xdr:colOff>
      <xdr:row>3</xdr:row>
      <xdr:rowOff>123825</xdr:rowOff>
    </xdr:to>
    <xdr:pic>
      <xdr:nvPicPr>
        <xdr:cNvPr id="3" name="Imagen 11">
          <a:extLst>
            <a:ext uri="{FF2B5EF4-FFF2-40B4-BE49-F238E27FC236}">
              <a16:creationId xmlns:a16="http://schemas.microsoft.com/office/drawing/2014/main" id="{C637103E-22EB-4B40-9C92-25FC73CF59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9705" y="0"/>
          <a:ext cx="88982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oyección Bovino"/>
      <sheetName val="Proyección Porcino"/>
      <sheetName val="Tasa"/>
      <sheetName val="Nómina"/>
      <sheetName val="Capacidad"/>
      <sheetName val="OBRA CIVIL"/>
      <sheetName val="REFRIGERACIÓN"/>
      <sheetName val="EQ INDUSTRIAL"/>
      <sheetName val="Depreciación"/>
      <sheetName val="CANON"/>
      <sheetName val="Préstamo"/>
      <sheetName val="Consolidado"/>
      <sheetName val="ER"/>
      <sheetName val="BG"/>
      <sheetName val="EVA Financiera"/>
      <sheetName val="Hoja1"/>
      <sheetName val="Sensibilidad"/>
      <sheetName val="PROP. 1"/>
      <sheetName val="PROP. 2"/>
      <sheetName val="PROP. 3"/>
      <sheetName val="Hoja5"/>
      <sheetName val="Materiales"/>
      <sheetName val="Mano de Obra 1"/>
      <sheetName val="Equipo"/>
      <sheetName val="Tranporte"/>
      <sheetName val="detalles"/>
      <sheetName val="APU1"/>
      <sheetName val="Presup. Hidrosanitario"/>
      <sheetName val="Resumen"/>
      <sheetName val="Separadores "/>
      <sheetName val="IE_Preguntas"/>
      <sheetName val="IE_Resultados"/>
      <sheetName val="IE_Grafico Barras"/>
      <sheetName val="IE_Grafico Radial"/>
      <sheetName val="IE_Variables"/>
      <sheetName val="Concepto Ingresos Incrementales"/>
      <sheetName val="Ing Mejora Recaudacion"/>
      <sheetName val="Incremento facturación cero"/>
      <sheetName val="Respaldo (I) cuentas cero"/>
      <sheetName val="Ingreso por Cobertura"/>
      <sheetName val="Ing. Cambio metod ARCA"/>
      <sheetName val="Ing. Reducción Subsidios"/>
      <sheetName val="INVERSIONES"/>
      <sheetName val="FLUJO PROYECTO"/>
      <sheetName val="FLUJO ALIADO"/>
      <sheetName val="G&amp;P "/>
      <sheetName val="Financiamiento "/>
      <sheetName val="Resumen VAN y TIR"/>
      <sheetName val="Tasa de descuento"/>
      <sheetName val="Riesgos"/>
      <sheetName val="Resultados Riesgos"/>
      <sheetName val="FC ALT 1"/>
      <sheetName val="INVERSION-ALTERNATIVA 1"/>
      <sheetName val="FC ALT 2"/>
      <sheetName val="INVERSION-ALTERNATIVA 2"/>
      <sheetName val="FC ALT 3"/>
      <sheetName val="INVERSION-ALTERNATIVA 3"/>
      <sheetName val="Flujo al aliado ESC 2"/>
      <sheetName val="Flujo al aliado ESC 1"/>
      <sheetName val="G&amp;P"/>
      <sheetName val="Flujo de caja Operacion SI"/>
      <sheetName val="Gastos de operacion"/>
      <sheetName val="Gastos de Personal"/>
      <sheetName val="Activos y Depreciación"/>
      <sheetName val="Flujo de caja Inversiones"/>
    </sheetNames>
    <sheetDataSet>
      <sheetData sheetId="0">
        <row r="77">
          <cell r="B77">
            <v>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row r="2">
          <cell r="B2" t="str">
            <v xml:space="preserve">xxxxx </v>
          </cell>
          <cell r="C2" t="str">
            <v>xxxxxxxxxxxxxxxxxxxxxxxxxxxxxxxxxxxxxx</v>
          </cell>
          <cell r="D2" t="str">
            <v>xxxx</v>
          </cell>
          <cell r="E2" t="str">
            <v>xxxx</v>
          </cell>
          <cell r="F2" t="str">
            <v>xxxxxxx</v>
          </cell>
          <cell r="G2" t="str">
            <v>xxxxxxxx</v>
          </cell>
          <cell r="H2" t="str">
            <v>xxxxxxxxxx</v>
          </cell>
          <cell r="I2" t="str">
            <v>xxxxxxxx</v>
          </cell>
          <cell r="J2" t="str">
            <v>xxxxxxxxxx</v>
          </cell>
          <cell r="K2">
            <v>0.17</v>
          </cell>
          <cell r="L2">
            <v>0</v>
          </cell>
          <cell r="M2">
            <v>0</v>
          </cell>
        </row>
        <row r="3">
          <cell r="B3" t="str">
            <v>4-2,001</v>
          </cell>
          <cell r="C3" t="str">
            <v xml:space="preserve">Conexión y Guía de aapp de 200mm pvc presión u/z 1.0MPa (incluye accesorios y anclajes) </v>
          </cell>
          <cell r="D3" t="str">
            <v>glb</v>
          </cell>
          <cell r="E3">
            <v>2</v>
          </cell>
          <cell r="F3">
            <v>0.35199999999999998</v>
          </cell>
          <cell r="G3">
            <v>7.0449999999999999</v>
          </cell>
          <cell r="H3">
            <v>198.17</v>
          </cell>
          <cell r="I3">
            <v>0</v>
          </cell>
          <cell r="J3">
            <v>205.56700000000001</v>
          </cell>
          <cell r="K3">
            <v>34.950000000000003</v>
          </cell>
          <cell r="L3">
            <v>0</v>
          </cell>
          <cell r="M3">
            <v>240.52</v>
          </cell>
        </row>
        <row r="4">
          <cell r="B4" t="str">
            <v>4-5,041</v>
          </cell>
          <cell r="C4" t="str">
            <v>Instalación de Hidrante 90mm-110mm instalación de tub.,acc, valv, medidor, excavación, rellenos, retiros, roturas, construcción de cámara de válvula, Hormigón F'c=280kg/cm2=1.47m3, acero de refuerzo f'c=4200kg/cm2=4.74qq, construcción de caja de medidor de hormigón F'c=210kg/cm2=0.26m3, Tapa metálica antideslizante con visor, inc. marco y contramarco, suministro vaciado de hormigón para anclaje f'c:280kg/cm2=0.10m3 y empate a la pared.</v>
          </cell>
          <cell r="D4" t="str">
            <v>glb</v>
          </cell>
          <cell r="E4">
            <v>4.2000000000000003E-2</v>
          </cell>
          <cell r="F4">
            <v>16.774000000000001</v>
          </cell>
          <cell r="G4">
            <v>335.47500000000002</v>
          </cell>
          <cell r="H4">
            <v>6642.28</v>
          </cell>
          <cell r="I4">
            <v>0</v>
          </cell>
          <cell r="J4">
            <v>6994.5290000000005</v>
          </cell>
          <cell r="K4">
            <v>1189.07</v>
          </cell>
          <cell r="L4">
            <v>0</v>
          </cell>
          <cell r="M4">
            <v>8183.6</v>
          </cell>
        </row>
        <row r="5">
          <cell r="B5" t="str">
            <v>4-2,003</v>
          </cell>
          <cell r="C5" t="str">
            <v>Medidor de aapp  D=6" de chorro múltiple clase C, inc. de H.F. con visor.</v>
          </cell>
          <cell r="D5" t="str">
            <v>u</v>
          </cell>
          <cell r="E5">
            <v>0.25</v>
          </cell>
          <cell r="F5">
            <v>2.1360000000000001</v>
          </cell>
          <cell r="G5">
            <v>42.72</v>
          </cell>
          <cell r="H5">
            <v>2133.2600000000002</v>
          </cell>
          <cell r="I5">
            <v>0</v>
          </cell>
          <cell r="J5">
            <v>2178.116</v>
          </cell>
          <cell r="K5">
            <v>370.28</v>
          </cell>
          <cell r="L5">
            <v>0</v>
          </cell>
          <cell r="M5">
            <v>2548.4</v>
          </cell>
        </row>
        <row r="6">
          <cell r="B6" t="str">
            <v>4-2,004</v>
          </cell>
          <cell r="C6" t="str">
            <v>Acometida general - Tub. polipropileno termofusión D:2" (63mm) + acc</v>
          </cell>
          <cell r="D6" t="str">
            <v>ml</v>
          </cell>
          <cell r="E6">
            <v>3.3330000000000002</v>
          </cell>
          <cell r="F6">
            <v>1.8380000000000001</v>
          </cell>
          <cell r="G6">
            <v>5.25</v>
          </cell>
          <cell r="H6">
            <v>20.49</v>
          </cell>
          <cell r="I6">
            <v>0</v>
          </cell>
          <cell r="J6">
            <v>27.577999999999999</v>
          </cell>
          <cell r="K6">
            <v>4.6900000000000004</v>
          </cell>
          <cell r="L6">
            <v>0</v>
          </cell>
          <cell r="M6">
            <v>32.270000000000003</v>
          </cell>
        </row>
        <row r="7">
          <cell r="B7" t="str">
            <v>4-2,005</v>
          </cell>
          <cell r="C7" t="str">
            <v>Prov. e Inst. y prueba de Tub. Pvc presión u/z 0.8Mpa D:4" (110mm) + acc</v>
          </cell>
          <cell r="D7" t="str">
            <v>ml</v>
          </cell>
          <cell r="E7">
            <v>2</v>
          </cell>
          <cell r="F7">
            <v>3.0630000000000002</v>
          </cell>
          <cell r="G7">
            <v>8.75</v>
          </cell>
          <cell r="H7">
            <v>21.84</v>
          </cell>
          <cell r="I7">
            <v>0</v>
          </cell>
          <cell r="J7">
            <v>33.652999999999999</v>
          </cell>
          <cell r="K7">
            <v>5.72</v>
          </cell>
          <cell r="L7">
            <v>0</v>
          </cell>
          <cell r="M7">
            <v>39.369999999999997</v>
          </cell>
        </row>
        <row r="8">
          <cell r="B8" t="str">
            <v>4-2,006</v>
          </cell>
          <cell r="C8" t="str">
            <v>Tub. polipropileno termofusión D:3" (90mm) + acc</v>
          </cell>
          <cell r="D8" t="str">
            <v>ml</v>
          </cell>
          <cell r="E8">
            <v>2</v>
          </cell>
          <cell r="F8">
            <v>3.0630000000000002</v>
          </cell>
          <cell r="G8">
            <v>8.75</v>
          </cell>
          <cell r="H8">
            <v>37.57</v>
          </cell>
          <cell r="I8">
            <v>0</v>
          </cell>
          <cell r="J8">
            <v>49.383000000000003</v>
          </cell>
          <cell r="K8">
            <v>8.4</v>
          </cell>
          <cell r="L8">
            <v>0</v>
          </cell>
          <cell r="M8">
            <v>57.78</v>
          </cell>
        </row>
        <row r="9">
          <cell r="B9" t="str">
            <v>4-2,007</v>
          </cell>
          <cell r="C9" t="str">
            <v>Tub. polipropileno termofusión D:2-1/2" (75mm) + acc</v>
          </cell>
          <cell r="D9" t="str">
            <v>ml</v>
          </cell>
          <cell r="E9">
            <v>2.5</v>
          </cell>
          <cell r="F9">
            <v>2.4500000000000002</v>
          </cell>
          <cell r="G9">
            <v>7</v>
          </cell>
          <cell r="H9">
            <v>24</v>
          </cell>
          <cell r="I9">
            <v>0</v>
          </cell>
          <cell r="J9">
            <v>33.450000000000003</v>
          </cell>
          <cell r="K9">
            <v>5.69</v>
          </cell>
          <cell r="L9">
            <v>0</v>
          </cell>
          <cell r="M9">
            <v>39.14</v>
          </cell>
        </row>
        <row r="10">
          <cell r="B10" t="str">
            <v>4-2,008</v>
          </cell>
          <cell r="C10" t="str">
            <v>Tub. polipropileno termofusión D:2" (63mm) + acc</v>
          </cell>
          <cell r="D10" t="str">
            <v>ml</v>
          </cell>
          <cell r="E10">
            <v>3.3330000000000002</v>
          </cell>
          <cell r="F10">
            <v>1.8380000000000001</v>
          </cell>
          <cell r="G10">
            <v>5.25</v>
          </cell>
          <cell r="H10">
            <v>20.49</v>
          </cell>
          <cell r="I10">
            <v>0</v>
          </cell>
          <cell r="J10">
            <v>27.577999999999999</v>
          </cell>
          <cell r="K10">
            <v>4.6900000000000004</v>
          </cell>
          <cell r="L10">
            <v>0</v>
          </cell>
          <cell r="M10">
            <v>32.270000000000003</v>
          </cell>
        </row>
        <row r="11">
          <cell r="B11" t="str">
            <v>4-2,009</v>
          </cell>
          <cell r="C11" t="str">
            <v>Tub. polipropileno termofusión D:1-1/2" (50mm) + acc</v>
          </cell>
          <cell r="D11" t="str">
            <v>ml</v>
          </cell>
          <cell r="E11">
            <v>3.3330000000000002</v>
          </cell>
          <cell r="F11">
            <v>1.8380000000000001</v>
          </cell>
          <cell r="G11">
            <v>5.25</v>
          </cell>
          <cell r="H11">
            <v>17.57</v>
          </cell>
          <cell r="I11">
            <v>0</v>
          </cell>
          <cell r="J11">
            <v>24.658000000000001</v>
          </cell>
          <cell r="K11">
            <v>4.1900000000000004</v>
          </cell>
          <cell r="L11">
            <v>0</v>
          </cell>
          <cell r="M11">
            <v>28.85</v>
          </cell>
        </row>
        <row r="12">
          <cell r="B12" t="str">
            <v>4-2,010</v>
          </cell>
          <cell r="C12" t="str">
            <v>Tub. polipropileno termofusión D:1" (32mm) + acc</v>
          </cell>
          <cell r="D12" t="str">
            <v>ml</v>
          </cell>
          <cell r="E12">
            <v>4</v>
          </cell>
          <cell r="F12">
            <v>1.532</v>
          </cell>
          <cell r="G12">
            <v>4.3769999999999998</v>
          </cell>
          <cell r="H12">
            <v>13.23</v>
          </cell>
          <cell r="I12">
            <v>0</v>
          </cell>
          <cell r="J12">
            <v>19.138999999999999</v>
          </cell>
          <cell r="K12">
            <v>3.25</v>
          </cell>
          <cell r="L12">
            <v>0</v>
          </cell>
          <cell r="M12">
            <v>22.39</v>
          </cell>
        </row>
        <row r="13">
          <cell r="B13" t="str">
            <v>4-2,011</v>
          </cell>
          <cell r="C13" t="str">
            <v>Tub. polipropileno termofusión D:3/4" (25mm) + acc</v>
          </cell>
          <cell r="D13" t="str">
            <v>ml</v>
          </cell>
          <cell r="E13">
            <v>4</v>
          </cell>
          <cell r="F13">
            <v>1.532</v>
          </cell>
          <cell r="G13">
            <v>4.3769999999999998</v>
          </cell>
          <cell r="H13">
            <v>10.19</v>
          </cell>
          <cell r="I13">
            <v>0</v>
          </cell>
          <cell r="J13">
            <v>16.099</v>
          </cell>
          <cell r="K13">
            <v>2.74</v>
          </cell>
          <cell r="L13">
            <v>0</v>
          </cell>
          <cell r="M13">
            <v>18.84</v>
          </cell>
        </row>
        <row r="14">
          <cell r="B14" t="str">
            <v>4-2,012</v>
          </cell>
          <cell r="C14" t="str">
            <v>Tub. polipropileno termofusión D:1/2" (20mm) + acc</v>
          </cell>
          <cell r="D14" t="str">
            <v>ml</v>
          </cell>
          <cell r="E14">
            <v>4</v>
          </cell>
          <cell r="F14">
            <v>1.532</v>
          </cell>
          <cell r="G14">
            <v>4.3769999999999998</v>
          </cell>
          <cell r="H14">
            <v>5.96</v>
          </cell>
          <cell r="I14">
            <v>0</v>
          </cell>
          <cell r="J14">
            <v>11.869</v>
          </cell>
          <cell r="K14">
            <v>2.02</v>
          </cell>
          <cell r="L14">
            <v>0</v>
          </cell>
          <cell r="M14">
            <v>13.89</v>
          </cell>
        </row>
        <row r="15">
          <cell r="B15" t="str">
            <v>4-2,013</v>
          </cell>
          <cell r="C15" t="str">
            <v>Puntos D=1" (32mm)</v>
          </cell>
          <cell r="D15" t="str">
            <v>u</v>
          </cell>
          <cell r="E15">
            <v>1</v>
          </cell>
          <cell r="F15">
            <v>3.375</v>
          </cell>
          <cell r="G15">
            <v>17.5</v>
          </cell>
          <cell r="H15">
            <v>21.54</v>
          </cell>
          <cell r="I15">
            <v>0</v>
          </cell>
          <cell r="J15">
            <v>42.414999999999999</v>
          </cell>
          <cell r="K15">
            <v>7.21</v>
          </cell>
          <cell r="L15">
            <v>0</v>
          </cell>
          <cell r="M15">
            <v>49.63</v>
          </cell>
        </row>
        <row r="16">
          <cell r="B16" t="str">
            <v>4-2,014</v>
          </cell>
          <cell r="C16" t="str">
            <v xml:space="preserve">Puntos D=3/4" - 1/2" </v>
          </cell>
          <cell r="D16" t="str">
            <v>u</v>
          </cell>
          <cell r="E16">
            <v>1</v>
          </cell>
          <cell r="F16">
            <v>3.375</v>
          </cell>
          <cell r="G16">
            <v>17.5</v>
          </cell>
          <cell r="H16">
            <v>17.655999999999999</v>
          </cell>
          <cell r="I16">
            <v>0</v>
          </cell>
          <cell r="J16">
            <v>38.530999999999999</v>
          </cell>
          <cell r="K16">
            <v>6.55</v>
          </cell>
          <cell r="L16">
            <v>0</v>
          </cell>
          <cell r="M16">
            <v>45.08</v>
          </cell>
        </row>
        <row r="17">
          <cell r="B17" t="str">
            <v>4-2,015</v>
          </cell>
          <cell r="C17" t="str">
            <v>Medidor de aapp  D=1/2" de chorro múltiple clase C, inc. Tapa de H.F. con visor.</v>
          </cell>
          <cell r="D17" t="str">
            <v>u</v>
          </cell>
          <cell r="E17">
            <v>0.25</v>
          </cell>
          <cell r="F17">
            <v>2.1360000000000001</v>
          </cell>
          <cell r="G17">
            <v>42.72</v>
          </cell>
          <cell r="H17">
            <v>106.7</v>
          </cell>
          <cell r="I17">
            <v>0</v>
          </cell>
          <cell r="J17">
            <v>151.55600000000001</v>
          </cell>
          <cell r="K17">
            <v>25.76</v>
          </cell>
          <cell r="L17">
            <v>0</v>
          </cell>
          <cell r="M17">
            <v>177.32</v>
          </cell>
        </row>
        <row r="18">
          <cell r="D18">
            <v>0</v>
          </cell>
          <cell r="E18">
            <v>0</v>
          </cell>
          <cell r="F18">
            <v>0</v>
          </cell>
          <cell r="G18">
            <v>0</v>
          </cell>
          <cell r="H18">
            <v>0</v>
          </cell>
          <cell r="I18">
            <v>0</v>
          </cell>
          <cell r="J18">
            <v>0</v>
          </cell>
          <cell r="K18">
            <v>0</v>
          </cell>
          <cell r="L18">
            <v>0</v>
          </cell>
          <cell r="M18">
            <v>0</v>
          </cell>
        </row>
        <row r="20">
          <cell r="B20" t="str">
            <v>4-2,016.1</v>
          </cell>
          <cell r="C20" t="str">
            <v>Valvula de mariposa  D=8"  (200mm)</v>
          </cell>
          <cell r="D20" t="str">
            <v>u</v>
          </cell>
          <cell r="E20">
            <v>0.25</v>
          </cell>
          <cell r="F20">
            <v>11.454000000000001</v>
          </cell>
          <cell r="G20">
            <v>29.08</v>
          </cell>
          <cell r="H20">
            <v>1090.98</v>
          </cell>
          <cell r="I20">
            <v>0</v>
          </cell>
          <cell r="J20">
            <v>1131.5139999999999</v>
          </cell>
          <cell r="K20">
            <v>192.36</v>
          </cell>
          <cell r="L20">
            <v>0</v>
          </cell>
          <cell r="M20">
            <v>1323.87</v>
          </cell>
        </row>
        <row r="21">
          <cell r="B21" t="str">
            <v>4-2,016</v>
          </cell>
          <cell r="C21" t="str">
            <v>Valvula de Control Termofusión D=2-1/2"  (75mm)</v>
          </cell>
          <cell r="D21" t="str">
            <v>u</v>
          </cell>
          <cell r="E21">
            <v>3.3330000000000002</v>
          </cell>
          <cell r="F21">
            <v>0.85899999999999999</v>
          </cell>
          <cell r="G21">
            <v>2.181</v>
          </cell>
          <cell r="H21">
            <v>93.5</v>
          </cell>
          <cell r="I21">
            <v>0</v>
          </cell>
          <cell r="J21">
            <v>96.54</v>
          </cell>
          <cell r="K21">
            <v>16.41</v>
          </cell>
          <cell r="L21">
            <v>0</v>
          </cell>
          <cell r="M21">
            <v>112.95</v>
          </cell>
        </row>
        <row r="22">
          <cell r="B22" t="str">
            <v>4-2,017</v>
          </cell>
          <cell r="C22" t="str">
            <v>Valvula de Control Termofusión D=2" (63mm)</v>
          </cell>
          <cell r="D22" t="str">
            <v>u</v>
          </cell>
          <cell r="E22">
            <v>3.3330000000000002</v>
          </cell>
          <cell r="F22">
            <v>0.85899999999999999</v>
          </cell>
          <cell r="G22">
            <v>2.181</v>
          </cell>
          <cell r="H22">
            <v>77</v>
          </cell>
          <cell r="I22">
            <v>0</v>
          </cell>
          <cell r="J22">
            <v>80.040000000000006</v>
          </cell>
          <cell r="K22">
            <v>13.61</v>
          </cell>
          <cell r="L22">
            <v>0</v>
          </cell>
          <cell r="M22">
            <v>93.65</v>
          </cell>
        </row>
        <row r="23">
          <cell r="B23" t="str">
            <v>4-2,018</v>
          </cell>
          <cell r="C23" t="str">
            <v>Valvula de Control Termofusión D=1-1/2" (50mm)</v>
          </cell>
          <cell r="D23" t="str">
            <v>u</v>
          </cell>
          <cell r="E23">
            <v>3.3330000000000002</v>
          </cell>
          <cell r="F23">
            <v>0.85899999999999999</v>
          </cell>
          <cell r="G23">
            <v>2.181</v>
          </cell>
          <cell r="H23">
            <v>60.5</v>
          </cell>
          <cell r="I23">
            <v>0</v>
          </cell>
          <cell r="J23">
            <v>63.54</v>
          </cell>
          <cell r="K23">
            <v>10.8</v>
          </cell>
          <cell r="L23">
            <v>0</v>
          </cell>
          <cell r="M23">
            <v>74.34</v>
          </cell>
        </row>
        <row r="24">
          <cell r="B24" t="str">
            <v>4-2,019</v>
          </cell>
          <cell r="C24" t="str">
            <v>Valvula de Control Termofusión D=1" (32mm)</v>
          </cell>
          <cell r="D24" t="str">
            <v>u</v>
          </cell>
          <cell r="E24">
            <v>3.3330000000000002</v>
          </cell>
          <cell r="F24">
            <v>0.85899999999999999</v>
          </cell>
          <cell r="G24">
            <v>2.181</v>
          </cell>
          <cell r="H24">
            <v>26.4</v>
          </cell>
          <cell r="I24">
            <v>0</v>
          </cell>
          <cell r="J24">
            <v>29.44</v>
          </cell>
          <cell r="K24">
            <v>5</v>
          </cell>
          <cell r="L24">
            <v>0</v>
          </cell>
          <cell r="M24">
            <v>34.44</v>
          </cell>
        </row>
        <row r="25">
          <cell r="B25" t="str">
            <v>4-2,020</v>
          </cell>
          <cell r="C25" t="str">
            <v>Valvula de Control Termofusión, D=3/4" (25mm)</v>
          </cell>
          <cell r="D25" t="str">
            <v>u</v>
          </cell>
          <cell r="E25">
            <v>3.3330000000000002</v>
          </cell>
          <cell r="F25">
            <v>0.85899999999999999</v>
          </cell>
          <cell r="G25">
            <v>2.181</v>
          </cell>
          <cell r="H25">
            <v>22</v>
          </cell>
          <cell r="I25">
            <v>0</v>
          </cell>
          <cell r="J25">
            <v>25.04</v>
          </cell>
          <cell r="K25">
            <v>4.26</v>
          </cell>
          <cell r="L25">
            <v>0</v>
          </cell>
          <cell r="M25">
            <v>29.3</v>
          </cell>
        </row>
        <row r="26">
          <cell r="B26" t="str">
            <v>4-2,021</v>
          </cell>
          <cell r="C26" t="str">
            <v>Valvula de Control Termofusión, D=1/2" (20mm)</v>
          </cell>
          <cell r="D26" t="str">
            <v>u</v>
          </cell>
          <cell r="E26">
            <v>3.3330000000000002</v>
          </cell>
          <cell r="F26">
            <v>0.91</v>
          </cell>
          <cell r="G26">
            <v>3.2040000000000002</v>
          </cell>
          <cell r="H26">
            <v>16.5</v>
          </cell>
          <cell r="I26">
            <v>0</v>
          </cell>
          <cell r="J26">
            <v>20.614000000000001</v>
          </cell>
          <cell r="K26">
            <v>3.5</v>
          </cell>
          <cell r="L26">
            <v>0</v>
          </cell>
          <cell r="M26">
            <v>24.11</v>
          </cell>
        </row>
        <row r="27">
          <cell r="B27" t="str">
            <v>4-2,022</v>
          </cell>
          <cell r="C27" t="str">
            <v xml:space="preserve">Llave de Manguera  1/2" </v>
          </cell>
          <cell r="D27" t="str">
            <v>u</v>
          </cell>
          <cell r="E27">
            <v>3.3330000000000002</v>
          </cell>
          <cell r="F27">
            <v>0.48399999999999999</v>
          </cell>
          <cell r="G27">
            <v>2.181</v>
          </cell>
          <cell r="H27">
            <v>13.31</v>
          </cell>
          <cell r="I27">
            <v>0</v>
          </cell>
          <cell r="J27">
            <v>15.975</v>
          </cell>
          <cell r="K27">
            <v>2.72</v>
          </cell>
          <cell r="L27">
            <v>0</v>
          </cell>
          <cell r="M27">
            <v>18.7</v>
          </cell>
        </row>
        <row r="28">
          <cell r="B28" t="str">
            <v>4-2,025</v>
          </cell>
          <cell r="C28" t="str">
            <v>Soporte</v>
          </cell>
          <cell r="D28" t="str">
            <v>u</v>
          </cell>
          <cell r="E28">
            <v>1.875</v>
          </cell>
          <cell r="F28">
            <v>0.19400000000000001</v>
          </cell>
          <cell r="G28">
            <v>3.8769999999999998</v>
          </cell>
          <cell r="H28">
            <v>7.15</v>
          </cell>
          <cell r="I28">
            <v>0</v>
          </cell>
          <cell r="J28">
            <v>11.221</v>
          </cell>
          <cell r="K28">
            <v>1.91</v>
          </cell>
          <cell r="L28">
            <v>0</v>
          </cell>
          <cell r="M28">
            <v>13.13</v>
          </cell>
        </row>
        <row r="30">
          <cell r="B30" t="str">
            <v>4-3,020</v>
          </cell>
          <cell r="C30" t="str">
            <v>Rejilla de Bronce de piso 4" - 110mm</v>
          </cell>
          <cell r="D30" t="str">
            <v>u</v>
          </cell>
          <cell r="E30">
            <v>1.5</v>
          </cell>
          <cell r="F30">
            <v>0.35599999999999998</v>
          </cell>
          <cell r="G30">
            <v>7.12</v>
          </cell>
          <cell r="H30">
            <v>68.2</v>
          </cell>
          <cell r="I30">
            <v>0</v>
          </cell>
          <cell r="J30">
            <v>75.676000000000002</v>
          </cell>
          <cell r="K30">
            <v>12.86</v>
          </cell>
          <cell r="L30">
            <v>0</v>
          </cell>
          <cell r="M30">
            <v>88.54</v>
          </cell>
        </row>
        <row r="31">
          <cell r="B31" t="str">
            <v>4-2,026</v>
          </cell>
          <cell r="C31" t="str">
            <v>Instalación de Piezas Sanitarias</v>
          </cell>
          <cell r="D31" t="str">
            <v>u</v>
          </cell>
          <cell r="E31">
            <v>0.5</v>
          </cell>
          <cell r="F31">
            <v>1.0680000000000001</v>
          </cell>
          <cell r="G31">
            <v>21.36</v>
          </cell>
          <cell r="H31">
            <v>5.17</v>
          </cell>
          <cell r="I31">
            <v>0</v>
          </cell>
          <cell r="J31">
            <v>27.597999999999999</v>
          </cell>
          <cell r="K31">
            <v>4.6900000000000004</v>
          </cell>
          <cell r="L31">
            <v>0</v>
          </cell>
          <cell r="M31">
            <v>32.29</v>
          </cell>
        </row>
        <row r="32">
          <cell r="B32" t="str">
            <v>4-2,030</v>
          </cell>
          <cell r="C32" t="str">
            <v>Tub. Pvc presión E/C D=2" (50mm) 0.8Mpa (116psi) + acc</v>
          </cell>
          <cell r="D32" t="str">
            <v>ml</v>
          </cell>
          <cell r="E32">
            <v>2.5</v>
          </cell>
          <cell r="F32">
            <v>1.3140000000000001</v>
          </cell>
          <cell r="G32">
            <v>4.2720000000000002</v>
          </cell>
          <cell r="H32">
            <v>3.64</v>
          </cell>
          <cell r="I32">
            <v>0</v>
          </cell>
          <cell r="J32">
            <v>9.2260000000000009</v>
          </cell>
          <cell r="K32">
            <v>1.57</v>
          </cell>
          <cell r="L32">
            <v>0</v>
          </cell>
          <cell r="M32">
            <v>10.8</v>
          </cell>
        </row>
        <row r="33">
          <cell r="B33" t="str">
            <v>4-2,031</v>
          </cell>
          <cell r="C33" t="str">
            <v>Tub. Pvc presión E/C D=1-1/2" (40mm) 1Mpa (145psi) + acc</v>
          </cell>
          <cell r="D33" t="str">
            <v>ml</v>
          </cell>
          <cell r="E33">
            <v>2.8570000000000002</v>
          </cell>
          <cell r="F33">
            <v>1.1499999999999999</v>
          </cell>
          <cell r="G33">
            <v>3.7389999999999999</v>
          </cell>
          <cell r="H33">
            <v>2.7</v>
          </cell>
          <cell r="I33">
            <v>0</v>
          </cell>
          <cell r="J33">
            <v>7.5890000000000004</v>
          </cell>
          <cell r="K33">
            <v>1.29</v>
          </cell>
          <cell r="L33">
            <v>0</v>
          </cell>
          <cell r="M33">
            <v>8.8800000000000008</v>
          </cell>
        </row>
        <row r="34">
          <cell r="B34" t="str">
            <v>4-2,032</v>
          </cell>
          <cell r="C34" t="str">
            <v>Tub. Pvc presión E/C D=1" (32mm) 1.25Mpa (181psi) + acc</v>
          </cell>
          <cell r="D34" t="str">
            <v>ml</v>
          </cell>
          <cell r="E34">
            <v>3.3330000000000002</v>
          </cell>
          <cell r="F34">
            <v>0.98499999999999999</v>
          </cell>
          <cell r="G34">
            <v>3.2040000000000002</v>
          </cell>
          <cell r="H34">
            <v>2.7</v>
          </cell>
          <cell r="I34">
            <v>0</v>
          </cell>
          <cell r="J34">
            <v>6.8890000000000002</v>
          </cell>
          <cell r="K34">
            <v>1.17</v>
          </cell>
          <cell r="L34">
            <v>0</v>
          </cell>
          <cell r="M34">
            <v>8.06</v>
          </cell>
        </row>
        <row r="35">
          <cell r="B35" t="str">
            <v>4-2,033</v>
          </cell>
          <cell r="C35" t="str">
            <v>Tub. Pvc presión E/C D=3/4" (25mm) 1.6Mpa (232psi) + acc</v>
          </cell>
          <cell r="D35" t="str">
            <v>ml</v>
          </cell>
          <cell r="E35">
            <v>4</v>
          </cell>
          <cell r="F35">
            <v>0.82199999999999995</v>
          </cell>
          <cell r="G35">
            <v>2.6709999999999998</v>
          </cell>
          <cell r="H35">
            <v>1.44</v>
          </cell>
          <cell r="I35">
            <v>0</v>
          </cell>
          <cell r="J35">
            <v>4.9329999999999998</v>
          </cell>
          <cell r="K35">
            <v>0.84</v>
          </cell>
          <cell r="L35">
            <v>0</v>
          </cell>
          <cell r="M35">
            <v>5.77</v>
          </cell>
        </row>
        <row r="36">
          <cell r="B36" t="str">
            <v>4-2,034</v>
          </cell>
          <cell r="C36" t="str">
            <v>Tub. Pvc presión E/C D=1/2" (25mm) 2Mpa (290psi) + acc</v>
          </cell>
          <cell r="D36" t="str">
            <v>ml</v>
          </cell>
          <cell r="E36">
            <v>4</v>
          </cell>
          <cell r="F36">
            <v>0.82199999999999995</v>
          </cell>
          <cell r="G36">
            <v>2.6709999999999998</v>
          </cell>
          <cell r="H36">
            <v>1.2</v>
          </cell>
          <cell r="I36">
            <v>0</v>
          </cell>
          <cell r="J36">
            <v>4.6929999999999996</v>
          </cell>
          <cell r="K36">
            <v>0.8</v>
          </cell>
          <cell r="L36">
            <v>0</v>
          </cell>
          <cell r="M36">
            <v>5.49</v>
          </cell>
        </row>
        <row r="37">
          <cell r="B37" t="str">
            <v>4-2,035</v>
          </cell>
          <cell r="C37" t="str">
            <v>Aspersor serie Rainbird Tipo 1800 Pop-Top de 1/2"o similar</v>
          </cell>
          <cell r="D37" t="str">
            <v>u</v>
          </cell>
          <cell r="E37">
            <v>2</v>
          </cell>
          <cell r="F37">
            <v>0.26700000000000002</v>
          </cell>
          <cell r="G37">
            <v>5.34</v>
          </cell>
          <cell r="H37">
            <v>19.8</v>
          </cell>
          <cell r="I37">
            <v>0</v>
          </cell>
          <cell r="J37">
            <v>25.407</v>
          </cell>
          <cell r="K37">
            <v>4.32</v>
          </cell>
          <cell r="L37">
            <v>0</v>
          </cell>
          <cell r="M37">
            <v>29.73</v>
          </cell>
        </row>
        <row r="38">
          <cell r="B38" t="str">
            <v>4-2,036</v>
          </cell>
          <cell r="C38" t="str">
            <v>Electroválvula serie PGA Rainbird 50/60 ciclos solenoide d= 1 - 1/2" o similar</v>
          </cell>
          <cell r="D38" t="str">
            <v>u</v>
          </cell>
          <cell r="E38">
            <v>1.111</v>
          </cell>
          <cell r="F38">
            <v>0.48099999999999998</v>
          </cell>
          <cell r="G38">
            <v>9.6120000000000001</v>
          </cell>
          <cell r="H38">
            <v>11.28</v>
          </cell>
          <cell r="I38">
            <v>0</v>
          </cell>
          <cell r="J38">
            <v>21.373000000000001</v>
          </cell>
          <cell r="K38">
            <v>3.63</v>
          </cell>
          <cell r="L38">
            <v>0</v>
          </cell>
          <cell r="M38">
            <v>25</v>
          </cell>
        </row>
        <row r="39">
          <cell r="B39" t="str">
            <v>4-2,037</v>
          </cell>
          <cell r="C39" t="str">
            <v>Electroválvula serie PGA Rainbird 50/60 ciclos solenoide d=1" o similar</v>
          </cell>
          <cell r="D39" t="str">
            <v>u</v>
          </cell>
          <cell r="E39">
            <v>1.111</v>
          </cell>
          <cell r="F39">
            <v>0.48099999999999998</v>
          </cell>
          <cell r="G39">
            <v>9.6120000000000001</v>
          </cell>
          <cell r="H39">
            <v>11.28</v>
          </cell>
          <cell r="I39">
            <v>0</v>
          </cell>
          <cell r="J39">
            <v>21.373000000000001</v>
          </cell>
          <cell r="K39">
            <v>3.63</v>
          </cell>
          <cell r="L39">
            <v>0</v>
          </cell>
          <cell r="M39">
            <v>25</v>
          </cell>
        </row>
        <row r="40">
          <cell r="B40" t="str">
            <v>4-2,038</v>
          </cell>
          <cell r="C40" t="str">
            <v xml:space="preserve">Caja de pvc para electrovalvulas para 2 y 1 </v>
          </cell>
          <cell r="D40" t="str">
            <v>glb</v>
          </cell>
          <cell r="E40">
            <v>4</v>
          </cell>
          <cell r="F40">
            <v>0.13400000000000001</v>
          </cell>
          <cell r="G40">
            <v>2.6709999999999998</v>
          </cell>
          <cell r="H40">
            <v>41.8</v>
          </cell>
          <cell r="I40">
            <v>0</v>
          </cell>
          <cell r="J40">
            <v>44.604999999999997</v>
          </cell>
          <cell r="K40">
            <v>7.58</v>
          </cell>
          <cell r="L40">
            <v>0</v>
          </cell>
          <cell r="M40">
            <v>52.19</v>
          </cell>
        </row>
        <row r="41">
          <cell r="B41" t="str">
            <v>4-2,039</v>
          </cell>
          <cell r="C41" t="str">
            <v>Panel de automatización de 12 Estaciones modelo ESP-12mC Rain bird o similar (incluye sensor de lluvia)</v>
          </cell>
          <cell r="D41" t="str">
            <v>u</v>
          </cell>
          <cell r="E41">
            <v>0.1</v>
          </cell>
          <cell r="F41">
            <v>5.34</v>
          </cell>
          <cell r="G41">
            <v>106.8</v>
          </cell>
          <cell r="H41">
            <v>1720.4</v>
          </cell>
          <cell r="I41">
            <v>0</v>
          </cell>
          <cell r="J41">
            <v>1832.54</v>
          </cell>
          <cell r="K41">
            <v>311.52999999999997</v>
          </cell>
          <cell r="L41">
            <v>0</v>
          </cell>
          <cell r="M41">
            <v>2144.0700000000002</v>
          </cell>
        </row>
        <row r="42">
          <cell r="B42" t="str">
            <v>4-2,040</v>
          </cell>
          <cell r="C42" t="str">
            <v>Llave de Acople rápido 3/4" (incluye bayoneta 3/4")</v>
          </cell>
          <cell r="D42" t="str">
            <v>u</v>
          </cell>
          <cell r="E42">
            <v>1.25</v>
          </cell>
          <cell r="F42">
            <v>0.42699999999999999</v>
          </cell>
          <cell r="G42">
            <v>8.5440000000000005</v>
          </cell>
          <cell r="H42">
            <v>49.5</v>
          </cell>
          <cell r="I42">
            <v>0</v>
          </cell>
          <cell r="J42">
            <v>58.470999999999997</v>
          </cell>
          <cell r="K42">
            <v>9.94</v>
          </cell>
          <cell r="L42">
            <v>0</v>
          </cell>
          <cell r="M42">
            <v>68.41</v>
          </cell>
        </row>
        <row r="43">
          <cell r="B43">
            <v>0</v>
          </cell>
        </row>
        <row r="44">
          <cell r="B44">
            <v>0</v>
          </cell>
        </row>
        <row r="45">
          <cell r="B45">
            <v>0</v>
          </cell>
        </row>
        <row r="46">
          <cell r="B46" t="str">
            <v>4-6,003</v>
          </cell>
          <cell r="C46" t="str">
            <v>Excavación Manual</v>
          </cell>
          <cell r="D46" t="str">
            <v>m3</v>
          </cell>
          <cell r="E46">
            <v>2</v>
          </cell>
          <cell r="F46">
            <v>0.30399999999999999</v>
          </cell>
          <cell r="G46">
            <v>6.07</v>
          </cell>
          <cell r="H46">
            <v>0</v>
          </cell>
          <cell r="I46">
            <v>0</v>
          </cell>
          <cell r="J46">
            <v>6.3739999999999997</v>
          </cell>
          <cell r="K46">
            <v>1.08</v>
          </cell>
          <cell r="L46">
            <v>0</v>
          </cell>
          <cell r="M46">
            <v>7.45</v>
          </cell>
        </row>
        <row r="47">
          <cell r="B47" t="str">
            <v>4-6,004</v>
          </cell>
          <cell r="C47" t="str">
            <v>Excavación a Máquina</v>
          </cell>
          <cell r="D47" t="str">
            <v>m3</v>
          </cell>
          <cell r="E47">
            <v>9</v>
          </cell>
          <cell r="F47">
            <v>3.04</v>
          </cell>
          <cell r="G47">
            <v>0.80300000000000005</v>
          </cell>
          <cell r="H47">
            <v>0</v>
          </cell>
          <cell r="I47">
            <v>0</v>
          </cell>
          <cell r="J47">
            <v>3.843</v>
          </cell>
          <cell r="K47">
            <v>0.65</v>
          </cell>
          <cell r="L47">
            <v>0</v>
          </cell>
          <cell r="M47">
            <v>4.49</v>
          </cell>
        </row>
        <row r="48">
          <cell r="B48" t="str">
            <v>4-6,002</v>
          </cell>
          <cell r="C48" t="str">
            <v>Desbroce y limpieza de terreno</v>
          </cell>
          <cell r="D48" t="str">
            <v>m2</v>
          </cell>
          <cell r="E48">
            <v>60</v>
          </cell>
          <cell r="F48">
            <v>0.84799999999999998</v>
          </cell>
          <cell r="G48">
            <v>0.13400000000000001</v>
          </cell>
          <cell r="H48">
            <v>0</v>
          </cell>
          <cell r="I48">
            <v>0</v>
          </cell>
          <cell r="J48">
            <v>0.98199999999999998</v>
          </cell>
          <cell r="K48">
            <v>0.17</v>
          </cell>
          <cell r="L48">
            <v>0</v>
          </cell>
          <cell r="M48">
            <v>1.1499999999999999</v>
          </cell>
        </row>
        <row r="49">
          <cell r="B49" t="str">
            <v>4-6,005</v>
          </cell>
          <cell r="C49" t="str">
            <v>Desalojo</v>
          </cell>
          <cell r="D49" t="str">
            <v>m3</v>
          </cell>
          <cell r="E49">
            <v>20</v>
          </cell>
          <cell r="F49">
            <v>2.5659999999999998</v>
          </cell>
          <cell r="G49">
            <v>0.81699999999999995</v>
          </cell>
          <cell r="H49">
            <v>0</v>
          </cell>
          <cell r="I49">
            <v>0</v>
          </cell>
          <cell r="J49">
            <v>3.383</v>
          </cell>
          <cell r="K49">
            <v>0.57999999999999996</v>
          </cell>
          <cell r="L49">
            <v>0</v>
          </cell>
          <cell r="M49">
            <v>3.96</v>
          </cell>
        </row>
        <row r="50">
          <cell r="B50" t="str">
            <v>4-6,006</v>
          </cell>
          <cell r="C50" t="str">
            <v>Relleno Compactado Mecanicamente con material granular (cascajo) de acuerdo a especificaciones</v>
          </cell>
          <cell r="D50" t="str">
            <v>m3</v>
          </cell>
          <cell r="E50">
            <v>6.6669999999999998</v>
          </cell>
          <cell r="F50">
            <v>3.5880000000000001</v>
          </cell>
          <cell r="G50">
            <v>2.0219999999999998</v>
          </cell>
          <cell r="H50">
            <v>8.9049999999999994</v>
          </cell>
          <cell r="I50">
            <v>0</v>
          </cell>
          <cell r="J50">
            <v>14.515000000000001</v>
          </cell>
          <cell r="K50">
            <v>2.4700000000000002</v>
          </cell>
          <cell r="L50">
            <v>0</v>
          </cell>
          <cell r="M50">
            <v>16.989999999999998</v>
          </cell>
        </row>
        <row r="51">
          <cell r="B51" t="str">
            <v>4-6,007</v>
          </cell>
          <cell r="C51" t="str">
            <v>Relleno Compactado Mecanicamente con material del sitio de acuerdo a especificaciones</v>
          </cell>
          <cell r="D51" t="str">
            <v>m3</v>
          </cell>
          <cell r="E51">
            <v>11.904999999999999</v>
          </cell>
          <cell r="F51">
            <v>1.7410000000000001</v>
          </cell>
          <cell r="G51">
            <v>1.6459999999999999</v>
          </cell>
          <cell r="H51">
            <v>0</v>
          </cell>
          <cell r="I51">
            <v>0</v>
          </cell>
          <cell r="J51">
            <v>3.387</v>
          </cell>
          <cell r="K51">
            <v>0.57999999999999996</v>
          </cell>
          <cell r="L51">
            <v>0</v>
          </cell>
          <cell r="M51">
            <v>3.97</v>
          </cell>
        </row>
        <row r="52">
          <cell r="B52" t="str">
            <v>4-6,008</v>
          </cell>
          <cell r="C52" t="str">
            <v>Replantillo y Recubrimiento de Arena</v>
          </cell>
          <cell r="D52" t="str">
            <v>m3</v>
          </cell>
          <cell r="E52">
            <v>9</v>
          </cell>
          <cell r="F52">
            <v>2.677</v>
          </cell>
          <cell r="G52">
            <v>1.8759999999999999</v>
          </cell>
          <cell r="H52">
            <v>13.282999999999999</v>
          </cell>
          <cell r="I52">
            <v>0</v>
          </cell>
          <cell r="J52">
            <v>17.835999999999999</v>
          </cell>
          <cell r="K52">
            <v>3.03</v>
          </cell>
          <cell r="L52">
            <v>0</v>
          </cell>
          <cell r="M52">
            <v>20.87</v>
          </cell>
        </row>
        <row r="53">
          <cell r="B53" t="str">
            <v>4-6,009</v>
          </cell>
          <cell r="C53" t="str">
            <v>Hormigon estructural F'c=280 Kg/cm2 inc. Encofrado</v>
          </cell>
          <cell r="D53" t="str">
            <v>m3</v>
          </cell>
          <cell r="E53">
            <v>0.2</v>
          </cell>
          <cell r="F53">
            <v>9.1750000000000007</v>
          </cell>
          <cell r="G53">
            <v>87.5</v>
          </cell>
          <cell r="H53">
            <v>120.122</v>
          </cell>
          <cell r="I53">
            <v>0</v>
          </cell>
          <cell r="J53">
            <v>216.797</v>
          </cell>
          <cell r="K53">
            <v>36.86</v>
          </cell>
          <cell r="L53">
            <v>0</v>
          </cell>
          <cell r="M53">
            <v>253.66</v>
          </cell>
        </row>
        <row r="54">
          <cell r="B54" t="str">
            <v>4-6,010</v>
          </cell>
          <cell r="C54" t="str">
            <v>Acero de refuerzos</v>
          </cell>
          <cell r="D54" t="str">
            <v>kg</v>
          </cell>
          <cell r="E54">
            <v>20</v>
          </cell>
          <cell r="F54">
            <v>4.3999999999999997E-2</v>
          </cell>
          <cell r="G54">
            <v>0.877</v>
          </cell>
          <cell r="H54">
            <v>1.5860000000000001</v>
          </cell>
          <cell r="I54">
            <v>0</v>
          </cell>
          <cell r="J54">
            <v>2.5070000000000001</v>
          </cell>
          <cell r="K54">
            <v>0.43</v>
          </cell>
          <cell r="L54">
            <v>0</v>
          </cell>
          <cell r="M54">
            <v>2.94</v>
          </cell>
        </row>
        <row r="55">
          <cell r="B55" t="str">
            <v>4-3,001</v>
          </cell>
          <cell r="C55" t="str">
            <v>Provisión, instalación y prueba de Tub. PVC Di=160mm serie 5</v>
          </cell>
          <cell r="D55" t="str">
            <v>m</v>
          </cell>
          <cell r="E55">
            <v>5</v>
          </cell>
          <cell r="F55">
            <v>1.1870000000000001</v>
          </cell>
          <cell r="G55">
            <v>6.33</v>
          </cell>
          <cell r="H55">
            <v>11.182</v>
          </cell>
          <cell r="I55">
            <v>0</v>
          </cell>
          <cell r="J55">
            <v>18.699000000000002</v>
          </cell>
          <cell r="K55">
            <v>3.18</v>
          </cell>
          <cell r="L55">
            <v>0</v>
          </cell>
          <cell r="M55">
            <v>21.88</v>
          </cell>
        </row>
        <row r="56">
          <cell r="B56" t="str">
            <v>4-3,002</v>
          </cell>
          <cell r="C56" t="str">
            <v>Provisión, instalación y prueba de Tub. PVC Di=200mm serie 5</v>
          </cell>
          <cell r="D56" t="str">
            <v>m</v>
          </cell>
          <cell r="E56">
            <v>5</v>
          </cell>
          <cell r="F56">
            <v>1.1870000000000001</v>
          </cell>
          <cell r="G56">
            <v>6.33</v>
          </cell>
          <cell r="H56">
            <v>18.376999999999999</v>
          </cell>
          <cell r="I56">
            <v>0</v>
          </cell>
          <cell r="J56">
            <v>25.893999999999998</v>
          </cell>
          <cell r="K56">
            <v>4.4000000000000004</v>
          </cell>
          <cell r="L56">
            <v>0</v>
          </cell>
          <cell r="M56">
            <v>30.29</v>
          </cell>
        </row>
        <row r="57">
          <cell r="B57" t="str">
            <v>4-3,003</v>
          </cell>
          <cell r="C57" t="str">
            <v>Provisión, instalación y prueba de Tub. PVC Di=300mm serie 5</v>
          </cell>
          <cell r="D57" t="str">
            <v>m</v>
          </cell>
          <cell r="E57">
            <v>2.778</v>
          </cell>
          <cell r="F57">
            <v>2.1360000000000001</v>
          </cell>
          <cell r="G57">
            <v>11.395</v>
          </cell>
          <cell r="H57">
            <v>34.537999999999997</v>
          </cell>
          <cell r="I57">
            <v>0</v>
          </cell>
          <cell r="J57">
            <v>48.069000000000003</v>
          </cell>
          <cell r="K57">
            <v>8.17</v>
          </cell>
          <cell r="L57">
            <v>0</v>
          </cell>
          <cell r="M57">
            <v>56.24</v>
          </cell>
        </row>
        <row r="58">
          <cell r="B58" t="str">
            <v>4-3,004</v>
          </cell>
          <cell r="C58" t="str">
            <v>Provisión, instalación y prueba de Tub. PVC Di=400mm serie 5</v>
          </cell>
          <cell r="D58" t="str">
            <v>m</v>
          </cell>
          <cell r="E58">
            <v>2.5</v>
          </cell>
          <cell r="F58">
            <v>2.3730000000000002</v>
          </cell>
          <cell r="G58">
            <v>12.66</v>
          </cell>
          <cell r="H58">
            <v>56.783000000000001</v>
          </cell>
          <cell r="I58">
            <v>0</v>
          </cell>
          <cell r="J58">
            <v>71.816000000000003</v>
          </cell>
          <cell r="K58">
            <v>12.21</v>
          </cell>
          <cell r="L58">
            <v>0</v>
          </cell>
          <cell r="M58">
            <v>84.03</v>
          </cell>
        </row>
        <row r="59">
          <cell r="B59" t="str">
            <v>4-3,006</v>
          </cell>
          <cell r="C59" t="str">
            <v>Tub. Pvc desagüe D=6" (160mm) + acc.</v>
          </cell>
          <cell r="D59" t="str">
            <v>m</v>
          </cell>
          <cell r="E59">
            <v>5</v>
          </cell>
          <cell r="F59">
            <v>0.61699999999999999</v>
          </cell>
          <cell r="G59">
            <v>6.33</v>
          </cell>
          <cell r="H59">
            <v>15.72</v>
          </cell>
          <cell r="I59">
            <v>0</v>
          </cell>
          <cell r="J59">
            <v>22.667000000000002</v>
          </cell>
          <cell r="K59">
            <v>3.85</v>
          </cell>
          <cell r="L59">
            <v>0</v>
          </cell>
          <cell r="M59">
            <v>26.52</v>
          </cell>
        </row>
        <row r="60">
          <cell r="B60" t="str">
            <v>4-3,007</v>
          </cell>
          <cell r="C60" t="str">
            <v>Tub. Pvc desagüe D=4" (110mm) + acc.</v>
          </cell>
          <cell r="D60" t="str">
            <v>m</v>
          </cell>
          <cell r="E60">
            <v>2.5</v>
          </cell>
          <cell r="F60">
            <v>0.88200000000000001</v>
          </cell>
          <cell r="G60">
            <v>5.6360000000000001</v>
          </cell>
          <cell r="H60">
            <v>7.93</v>
          </cell>
          <cell r="I60">
            <v>0</v>
          </cell>
          <cell r="J60">
            <v>14.448</v>
          </cell>
          <cell r="K60">
            <v>2.46</v>
          </cell>
          <cell r="L60">
            <v>0</v>
          </cell>
          <cell r="M60">
            <v>16.91</v>
          </cell>
        </row>
        <row r="61">
          <cell r="B61" t="str">
            <v>4-3,008</v>
          </cell>
          <cell r="C61" t="str">
            <v>Tub. Pvc desagüe D=3" (75mm) + acc.</v>
          </cell>
          <cell r="D61" t="str">
            <v>m</v>
          </cell>
          <cell r="E61">
            <v>4</v>
          </cell>
          <cell r="F61">
            <v>0.55100000000000005</v>
          </cell>
          <cell r="G61">
            <v>3.524</v>
          </cell>
          <cell r="H61">
            <v>6.35</v>
          </cell>
          <cell r="I61">
            <v>0</v>
          </cell>
          <cell r="J61">
            <v>10.425000000000001</v>
          </cell>
          <cell r="K61">
            <v>1.77</v>
          </cell>
          <cell r="L61">
            <v>0</v>
          </cell>
          <cell r="M61">
            <v>12.2</v>
          </cell>
        </row>
        <row r="62">
          <cell r="B62" t="str">
            <v>4-3,009</v>
          </cell>
          <cell r="C62" t="str">
            <v>Tub. Pvc desagüe D=2" (50mm) + acc.</v>
          </cell>
          <cell r="D62" t="str">
            <v>m</v>
          </cell>
          <cell r="E62">
            <v>4</v>
          </cell>
          <cell r="F62">
            <v>0.55100000000000005</v>
          </cell>
          <cell r="G62">
            <v>3.524</v>
          </cell>
          <cell r="H62">
            <v>4.05</v>
          </cell>
          <cell r="I62">
            <v>0</v>
          </cell>
          <cell r="J62">
            <v>8.125</v>
          </cell>
          <cell r="K62">
            <v>1.38</v>
          </cell>
          <cell r="L62">
            <v>0</v>
          </cell>
          <cell r="M62">
            <v>9.51</v>
          </cell>
        </row>
        <row r="63">
          <cell r="B63" t="str">
            <v>4-3,010</v>
          </cell>
          <cell r="C63" t="str">
            <v xml:space="preserve">Puntos Pvc desagüe D=6" (160mm) </v>
          </cell>
          <cell r="D63" t="str">
            <v>u</v>
          </cell>
          <cell r="E63">
            <v>0.625</v>
          </cell>
          <cell r="F63">
            <v>1.4</v>
          </cell>
          <cell r="G63">
            <v>28</v>
          </cell>
          <cell r="H63">
            <v>20.056000000000001</v>
          </cell>
          <cell r="I63">
            <v>0</v>
          </cell>
          <cell r="J63">
            <v>49.456000000000003</v>
          </cell>
          <cell r="K63">
            <v>8.41</v>
          </cell>
          <cell r="L63">
            <v>0</v>
          </cell>
          <cell r="M63">
            <v>57.87</v>
          </cell>
        </row>
        <row r="64">
          <cell r="B64" t="str">
            <v>4-3,011</v>
          </cell>
          <cell r="C64" t="str">
            <v xml:space="preserve">Puntos Pvc desagüe D=4" (110mm) </v>
          </cell>
          <cell r="D64" t="str">
            <v>u</v>
          </cell>
          <cell r="E64">
            <v>0.625</v>
          </cell>
          <cell r="F64">
            <v>1.4</v>
          </cell>
          <cell r="G64">
            <v>28</v>
          </cell>
          <cell r="H64">
            <v>8.6539999999999999</v>
          </cell>
          <cell r="I64">
            <v>0</v>
          </cell>
          <cell r="J64">
            <v>38.054000000000002</v>
          </cell>
          <cell r="K64">
            <v>6.47</v>
          </cell>
          <cell r="L64">
            <v>0</v>
          </cell>
          <cell r="M64">
            <v>44.52</v>
          </cell>
        </row>
        <row r="65">
          <cell r="B65" t="str">
            <v>4-3,012</v>
          </cell>
          <cell r="C65" t="str">
            <v xml:space="preserve">Puntos Pvc desagüe D=3" (75mm) </v>
          </cell>
          <cell r="D65" t="str">
            <v>u</v>
          </cell>
          <cell r="E65">
            <v>0.625</v>
          </cell>
          <cell r="F65">
            <v>1.4</v>
          </cell>
          <cell r="G65">
            <v>28</v>
          </cell>
          <cell r="H65">
            <v>7.17</v>
          </cell>
          <cell r="I65">
            <v>0</v>
          </cell>
          <cell r="J65">
            <v>36.57</v>
          </cell>
          <cell r="K65">
            <v>6.22</v>
          </cell>
          <cell r="L65">
            <v>0</v>
          </cell>
          <cell r="M65">
            <v>42.79</v>
          </cell>
        </row>
        <row r="66">
          <cell r="B66" t="str">
            <v>4-3,013</v>
          </cell>
          <cell r="C66" t="str">
            <v xml:space="preserve">Puntos Pvc desagüe D=2" (50mm) </v>
          </cell>
          <cell r="D66" t="str">
            <v>u</v>
          </cell>
          <cell r="E66">
            <v>0.625</v>
          </cell>
          <cell r="F66">
            <v>1.4</v>
          </cell>
          <cell r="G66">
            <v>28</v>
          </cell>
          <cell r="H66">
            <v>5.33</v>
          </cell>
          <cell r="I66">
            <v>0</v>
          </cell>
          <cell r="J66">
            <v>34.729999999999997</v>
          </cell>
          <cell r="K66">
            <v>5.9</v>
          </cell>
          <cell r="L66">
            <v>0</v>
          </cell>
          <cell r="M66">
            <v>40.630000000000003</v>
          </cell>
        </row>
        <row r="67">
          <cell r="B67" t="str">
            <v>4-3,021</v>
          </cell>
          <cell r="C67" t="str">
            <v>Rejilla aluminio CC-200x150mm</v>
          </cell>
          <cell r="D67" t="str">
            <v>u</v>
          </cell>
          <cell r="E67">
            <v>1.5</v>
          </cell>
          <cell r="F67">
            <v>0.35599999999999998</v>
          </cell>
          <cell r="G67">
            <v>7.12</v>
          </cell>
          <cell r="H67">
            <v>104.5</v>
          </cell>
          <cell r="I67">
            <v>0</v>
          </cell>
          <cell r="J67">
            <v>111.976</v>
          </cell>
          <cell r="K67">
            <v>19.04</v>
          </cell>
          <cell r="L67">
            <v>0</v>
          </cell>
          <cell r="M67">
            <v>131.02000000000001</v>
          </cell>
        </row>
        <row r="68">
          <cell r="B68" t="str">
            <v>4-3,022</v>
          </cell>
          <cell r="C68" t="str">
            <v>Rejilla aluminio CC-150x110mm</v>
          </cell>
          <cell r="D68" t="str">
            <v>u</v>
          </cell>
          <cell r="E68">
            <v>1.5</v>
          </cell>
          <cell r="F68">
            <v>0.35599999999999998</v>
          </cell>
          <cell r="G68">
            <v>7.12</v>
          </cell>
          <cell r="H68">
            <v>38.5</v>
          </cell>
          <cell r="I68">
            <v>0</v>
          </cell>
          <cell r="J68">
            <v>45.975999999999999</v>
          </cell>
          <cell r="K68">
            <v>7.82</v>
          </cell>
          <cell r="L68">
            <v>0</v>
          </cell>
          <cell r="M68">
            <v>53.8</v>
          </cell>
        </row>
        <row r="69">
          <cell r="B69" t="str">
            <v>4-4,009</v>
          </cell>
          <cell r="C69" t="str">
            <v>Caja Sumidero Horizontal de H.S, con Rejilla de platina 1-1/2x4mm de 0.40x0.30m de acero inoxidable</v>
          </cell>
          <cell r="D69" t="str">
            <v>u</v>
          </cell>
          <cell r="E69">
            <v>0.2</v>
          </cell>
          <cell r="F69">
            <v>20.375</v>
          </cell>
          <cell r="G69">
            <v>87.5</v>
          </cell>
          <cell r="H69">
            <v>245.827</v>
          </cell>
          <cell r="I69">
            <v>0</v>
          </cell>
          <cell r="J69">
            <v>353.702</v>
          </cell>
          <cell r="K69">
            <v>60.13</v>
          </cell>
          <cell r="L69">
            <v>0</v>
          </cell>
          <cell r="M69">
            <v>413.83</v>
          </cell>
        </row>
        <row r="70">
          <cell r="B70" t="str">
            <v>4-4,010</v>
          </cell>
          <cell r="C70" t="str">
            <v>Trampa de Grasas de H.A.</v>
          </cell>
          <cell r="D70" t="str">
            <v>u</v>
          </cell>
          <cell r="E70">
            <v>6.7000000000000004E-2</v>
          </cell>
          <cell r="F70">
            <v>65.94</v>
          </cell>
          <cell r="G70">
            <v>363.58499999999998</v>
          </cell>
          <cell r="H70">
            <v>2187.5070000000001</v>
          </cell>
          <cell r="I70">
            <v>0</v>
          </cell>
          <cell r="J70">
            <v>2617.0320000000002</v>
          </cell>
          <cell r="K70">
            <v>444.9</v>
          </cell>
          <cell r="L70">
            <v>0</v>
          </cell>
          <cell r="M70">
            <v>3061.93</v>
          </cell>
        </row>
        <row r="71">
          <cell r="B71" t="str">
            <v>4-6,015</v>
          </cell>
          <cell r="C71" t="str">
            <v>Tapa de Grafito Esferoidal HC-700 - 125Kn con llave de seguridad</v>
          </cell>
          <cell r="D71" t="str">
            <v>u</v>
          </cell>
          <cell r="E71">
            <v>0.5</v>
          </cell>
          <cell r="F71">
            <v>1.0680000000000001</v>
          </cell>
          <cell r="G71">
            <v>21.36</v>
          </cell>
          <cell r="H71">
            <v>268.02999999999997</v>
          </cell>
          <cell r="I71">
            <v>0</v>
          </cell>
          <cell r="J71">
            <v>290.45800000000003</v>
          </cell>
          <cell r="K71">
            <v>49.38</v>
          </cell>
          <cell r="L71">
            <v>0</v>
          </cell>
          <cell r="M71">
            <v>339.84</v>
          </cell>
        </row>
        <row r="72">
          <cell r="B72" t="str">
            <v>4-3,025</v>
          </cell>
          <cell r="C72" t="str">
            <v>Caja de Registro de H.S, (0,60x0,60)m con tapa de politeleno 125kn</v>
          </cell>
          <cell r="D72" t="str">
            <v>u</v>
          </cell>
          <cell r="E72">
            <v>0.33300000000000002</v>
          </cell>
          <cell r="F72">
            <v>12.238</v>
          </cell>
          <cell r="G72">
            <v>52.551000000000002</v>
          </cell>
          <cell r="H72">
            <v>343.07799999999997</v>
          </cell>
          <cell r="I72">
            <v>0</v>
          </cell>
          <cell r="J72">
            <v>407.86700000000002</v>
          </cell>
          <cell r="K72">
            <v>69.34</v>
          </cell>
          <cell r="L72">
            <v>0</v>
          </cell>
          <cell r="M72">
            <v>477.21</v>
          </cell>
        </row>
        <row r="73">
          <cell r="B73" t="str">
            <v>4-2,044</v>
          </cell>
          <cell r="C73" t="str">
            <v>Provisión e instal. de accesorios, valvulas del equipo de bombeo y equipamiento de cisterna</v>
          </cell>
          <cell r="D73" t="str">
            <v>glb</v>
          </cell>
          <cell r="E73">
            <v>6.3E-2</v>
          </cell>
          <cell r="F73">
            <v>16.594999999999999</v>
          </cell>
          <cell r="G73">
            <v>331.90499999999997</v>
          </cell>
          <cell r="H73">
            <v>15554</v>
          </cell>
          <cell r="I73">
            <v>0</v>
          </cell>
          <cell r="J73">
            <v>15902.5</v>
          </cell>
          <cell r="K73">
            <v>2703.43</v>
          </cell>
          <cell r="L73">
            <v>0</v>
          </cell>
          <cell r="M73">
            <v>18605.93</v>
          </cell>
        </row>
        <row r="74">
          <cell r="B74" t="str">
            <v>4-3,025.1</v>
          </cell>
          <cell r="C74" t="str">
            <v>Caja de Registro de H.A. (1.00x1.00)m. con tapa de politeleno 125kn</v>
          </cell>
          <cell r="D74" t="str">
            <v>u</v>
          </cell>
          <cell r="E74">
            <v>0.16700000000000001</v>
          </cell>
          <cell r="F74">
            <v>24.402000000000001</v>
          </cell>
          <cell r="G74">
            <v>104.79</v>
          </cell>
          <cell r="H74">
            <v>1017.9</v>
          </cell>
          <cell r="I74">
            <v>0</v>
          </cell>
          <cell r="J74">
            <v>1147.0920000000001</v>
          </cell>
          <cell r="K74">
            <v>195.01</v>
          </cell>
          <cell r="L74">
            <v>0</v>
          </cell>
          <cell r="M74">
            <v>1342.1</v>
          </cell>
        </row>
        <row r="75">
          <cell r="B75" t="str">
            <v>4-4,010.1</v>
          </cell>
          <cell r="C75" t="str">
            <v>Trampa de solidos H.A.</v>
          </cell>
          <cell r="D75" t="str">
            <v>u</v>
          </cell>
          <cell r="E75">
            <v>0.14299999999999999</v>
          </cell>
          <cell r="F75">
            <v>30.895</v>
          </cell>
          <cell r="G75">
            <v>170.34899999999999</v>
          </cell>
          <cell r="H75">
            <v>865.05799999999999</v>
          </cell>
          <cell r="I75">
            <v>0</v>
          </cell>
          <cell r="J75">
            <v>1066.3019999999999</v>
          </cell>
          <cell r="K75">
            <v>181.27</v>
          </cell>
          <cell r="L75">
            <v>0</v>
          </cell>
          <cell r="M75">
            <v>1247.57</v>
          </cell>
        </row>
        <row r="76">
          <cell r="B76" t="str">
            <v>4-2,069</v>
          </cell>
          <cell r="C76" t="str">
            <v>Provisión, inst. y puesta en funcionamiento de Equipo de bombeo de presión constante y veloc. Variable compuesto de 1 bomba de 4.0 lit/seg y 3 bombas de 12.0 lit./seg;  presión: m.c.a; Pot.=(1 de 5HP) y (3 de  15 HPc/u),  panel de control, pre-emsamblado con tubería de cobre tipo L.</v>
          </cell>
          <cell r="D76" t="str">
            <v>glb</v>
          </cell>
          <cell r="E76">
            <v>6.3E-2</v>
          </cell>
          <cell r="F76">
            <v>19.332999999999998</v>
          </cell>
          <cell r="G76">
            <v>386.66699999999997</v>
          </cell>
          <cell r="H76">
            <v>39160</v>
          </cell>
          <cell r="I76">
            <v>0</v>
          </cell>
          <cell r="J76">
            <v>39566</v>
          </cell>
          <cell r="K76">
            <v>6726.22</v>
          </cell>
          <cell r="L76">
            <v>0</v>
          </cell>
          <cell r="M76">
            <v>46292.22</v>
          </cell>
        </row>
        <row r="77">
          <cell r="B77" t="str">
            <v>4-3,026</v>
          </cell>
          <cell r="C77" t="str">
            <v>Caja de Registro de H.S, con Tapón de Bronce d=6"</v>
          </cell>
          <cell r="D77" t="str">
            <v>u</v>
          </cell>
          <cell r="E77">
            <v>0.2</v>
          </cell>
          <cell r="F77">
            <v>20.375</v>
          </cell>
          <cell r="G77">
            <v>87.5</v>
          </cell>
          <cell r="H77">
            <v>212.827</v>
          </cell>
          <cell r="I77">
            <v>0</v>
          </cell>
          <cell r="J77">
            <v>320.702</v>
          </cell>
          <cell r="K77">
            <v>54.52</v>
          </cell>
          <cell r="L77">
            <v>0</v>
          </cell>
          <cell r="M77">
            <v>375.22</v>
          </cell>
        </row>
        <row r="78">
          <cell r="B78" t="str">
            <v>4-4,011</v>
          </cell>
          <cell r="C78" t="str">
            <v>Trampa de Grasa Bajo Mesón de Acero Inoxidable 0.90x0.40m</v>
          </cell>
          <cell r="D78" t="str">
            <v>u</v>
          </cell>
          <cell r="E78">
            <v>0.28599999999999998</v>
          </cell>
          <cell r="F78">
            <v>1.867</v>
          </cell>
          <cell r="G78">
            <v>37.343000000000004</v>
          </cell>
          <cell r="H78">
            <v>495</v>
          </cell>
          <cell r="I78">
            <v>0</v>
          </cell>
          <cell r="J78">
            <v>534.21</v>
          </cell>
          <cell r="K78">
            <v>90.82</v>
          </cell>
          <cell r="L78">
            <v>0</v>
          </cell>
          <cell r="M78">
            <v>625.03</v>
          </cell>
        </row>
        <row r="80">
          <cell r="B80" t="str">
            <v>4-2,045</v>
          </cell>
          <cell r="C80" t="str">
            <v>Toma de Tanquero d=4" (incluye tub. y acc. De pvc presión E/C 0.8MPa Norma Inen 1373)</v>
          </cell>
          <cell r="D80" t="str">
            <v>glb</v>
          </cell>
          <cell r="E80">
            <v>0.25</v>
          </cell>
          <cell r="F80">
            <v>2.8180000000000001</v>
          </cell>
          <cell r="G80">
            <v>56.36</v>
          </cell>
          <cell r="H80">
            <v>172.04</v>
          </cell>
          <cell r="I80">
            <v>0</v>
          </cell>
          <cell r="J80">
            <v>231.21799999999999</v>
          </cell>
          <cell r="K80">
            <v>39.31</v>
          </cell>
          <cell r="L80">
            <v>0</v>
          </cell>
          <cell r="M80">
            <v>270.52999999999997</v>
          </cell>
        </row>
        <row r="83">
          <cell r="B83" t="str">
            <v>4-5,002</v>
          </cell>
          <cell r="C83" t="str">
            <v>Tubería Acero Negro SCH 40, D=6" + Accesorios</v>
          </cell>
          <cell r="D83" t="str">
            <v>m</v>
          </cell>
          <cell r="E83">
            <v>1.8480000000000001</v>
          </cell>
          <cell r="F83">
            <v>7.9210000000000003</v>
          </cell>
          <cell r="G83">
            <v>15.026</v>
          </cell>
          <cell r="H83">
            <v>49.404000000000003</v>
          </cell>
          <cell r="I83">
            <v>0</v>
          </cell>
          <cell r="J83">
            <v>72.350999999999999</v>
          </cell>
          <cell r="K83">
            <v>12.3</v>
          </cell>
          <cell r="L83">
            <v>0</v>
          </cell>
          <cell r="M83">
            <v>84.65</v>
          </cell>
        </row>
        <row r="84">
          <cell r="B84" t="str">
            <v>4-5,003</v>
          </cell>
          <cell r="C84" t="str">
            <v>Tubería Acero Negro SCH 40, D=4" + Accesorios</v>
          </cell>
          <cell r="D84" t="str">
            <v>m</v>
          </cell>
          <cell r="E84">
            <v>2.0329999999999999</v>
          </cell>
          <cell r="F84">
            <v>7.2009999999999996</v>
          </cell>
          <cell r="G84">
            <v>13.657999999999999</v>
          </cell>
          <cell r="H84">
            <v>32.529000000000003</v>
          </cell>
          <cell r="I84">
            <v>0</v>
          </cell>
          <cell r="J84">
            <v>53.387999999999998</v>
          </cell>
          <cell r="K84">
            <v>9.08</v>
          </cell>
          <cell r="L84">
            <v>0</v>
          </cell>
          <cell r="M84">
            <v>62.47</v>
          </cell>
        </row>
        <row r="85">
          <cell r="B85" t="str">
            <v>4-5,004</v>
          </cell>
          <cell r="C85" t="str">
            <v>Tubería Acero Negro SCH 40, D=3" + Accesorios</v>
          </cell>
          <cell r="D85" t="str">
            <v>m</v>
          </cell>
          <cell r="E85">
            <v>2.0329999999999999</v>
          </cell>
          <cell r="F85">
            <v>7.117</v>
          </cell>
          <cell r="G85">
            <v>11.981</v>
          </cell>
          <cell r="H85">
            <v>27.446000000000002</v>
          </cell>
          <cell r="I85">
            <v>0</v>
          </cell>
          <cell r="J85">
            <v>46.543999999999997</v>
          </cell>
          <cell r="K85">
            <v>7.91</v>
          </cell>
          <cell r="L85">
            <v>0</v>
          </cell>
          <cell r="M85">
            <v>54.45</v>
          </cell>
        </row>
        <row r="86">
          <cell r="B86" t="str">
            <v>4-5,005</v>
          </cell>
          <cell r="C86" t="str">
            <v>Tubería Acero Negro SCH 40, D=2-1/2" + Accesorios</v>
          </cell>
          <cell r="D86" t="str">
            <v>m</v>
          </cell>
          <cell r="E86">
            <v>2.032</v>
          </cell>
          <cell r="F86">
            <v>7.1189999999999998</v>
          </cell>
          <cell r="G86">
            <v>11.988</v>
          </cell>
          <cell r="H86">
            <v>20.719000000000001</v>
          </cell>
          <cell r="I86">
            <v>0</v>
          </cell>
          <cell r="J86">
            <v>39.826000000000001</v>
          </cell>
          <cell r="K86">
            <v>6.77</v>
          </cell>
          <cell r="L86">
            <v>0</v>
          </cell>
          <cell r="M86">
            <v>46.6</v>
          </cell>
        </row>
        <row r="87">
          <cell r="B87" t="str">
            <v>4-5,006</v>
          </cell>
          <cell r="C87" t="str">
            <v>Tubería Acero Negro SCH 40, D=2" + Accesorios</v>
          </cell>
          <cell r="D87" t="str">
            <v>m</v>
          </cell>
          <cell r="E87">
            <v>2.032</v>
          </cell>
          <cell r="F87">
            <v>7.0359999999999996</v>
          </cell>
          <cell r="G87">
            <v>10.31</v>
          </cell>
          <cell r="H87">
            <v>16.641999999999999</v>
          </cell>
          <cell r="I87">
            <v>0</v>
          </cell>
          <cell r="J87">
            <v>33.988</v>
          </cell>
          <cell r="K87">
            <v>5.78</v>
          </cell>
          <cell r="L87">
            <v>0</v>
          </cell>
          <cell r="M87">
            <v>39.770000000000003</v>
          </cell>
        </row>
        <row r="88">
          <cell r="B88" t="str">
            <v>4-5,007</v>
          </cell>
          <cell r="C88" t="str">
            <v>Tubería Acero Negro SCH 40, D=1-1/2" + Accesorios</v>
          </cell>
          <cell r="D88" t="str">
            <v>m</v>
          </cell>
          <cell r="E88">
            <v>3.0489999999999999</v>
          </cell>
          <cell r="F88">
            <v>4.2530000000000001</v>
          </cell>
          <cell r="G88">
            <v>7.9889999999999999</v>
          </cell>
          <cell r="H88">
            <v>15.199</v>
          </cell>
          <cell r="I88">
            <v>0</v>
          </cell>
          <cell r="J88">
            <v>27.440999999999999</v>
          </cell>
          <cell r="K88">
            <v>4.66</v>
          </cell>
          <cell r="L88">
            <v>0</v>
          </cell>
          <cell r="M88">
            <v>32.1</v>
          </cell>
        </row>
        <row r="89">
          <cell r="B89" t="str">
            <v>4-5,009</v>
          </cell>
          <cell r="C89" t="str">
            <v>Recubrimiento de Tub. de acero enterrada con Lámina asfáltica autoadherible con protección de foil de aluminio.</v>
          </cell>
          <cell r="D89" t="str">
            <v>m</v>
          </cell>
          <cell r="E89">
            <v>6</v>
          </cell>
          <cell r="F89">
            <v>0.11700000000000001</v>
          </cell>
          <cell r="G89">
            <v>2.3479999999999999</v>
          </cell>
          <cell r="H89">
            <v>11.22</v>
          </cell>
          <cell r="I89">
            <v>0</v>
          </cell>
          <cell r="J89">
            <v>13.685</v>
          </cell>
          <cell r="K89">
            <v>2.33</v>
          </cell>
          <cell r="L89">
            <v>0</v>
          </cell>
          <cell r="M89">
            <v>16.02</v>
          </cell>
        </row>
        <row r="90">
          <cell r="B90" t="str">
            <v>4-5,011</v>
          </cell>
          <cell r="C90" t="str">
            <v>Provisión e Instalación de Rociador  pendent 3/4" K 11.2 fusible Rojo-68°C</v>
          </cell>
          <cell r="D90" t="str">
            <v>u</v>
          </cell>
          <cell r="E90">
            <v>0.66400000000000003</v>
          </cell>
          <cell r="F90">
            <v>2.806</v>
          </cell>
          <cell r="G90">
            <v>10.949</v>
          </cell>
          <cell r="H90">
            <v>41.25</v>
          </cell>
          <cell r="I90">
            <v>0</v>
          </cell>
          <cell r="J90">
            <v>55.005000000000003</v>
          </cell>
          <cell r="K90">
            <v>9.35</v>
          </cell>
          <cell r="L90">
            <v>0</v>
          </cell>
          <cell r="M90">
            <v>64.36</v>
          </cell>
        </row>
        <row r="91">
          <cell r="B91" t="str">
            <v>4-5,012.1</v>
          </cell>
          <cell r="C91" t="str">
            <v>Provisión e Inst. de gabinete SCI acero inoxidable - 2 Salidas 1-1/2" - 2-1/2" con manguera de L=15mts (incluye manguera adicional de 15mts, extintor pqs de 10lbs)</v>
          </cell>
          <cell r="D91" t="str">
            <v>u</v>
          </cell>
          <cell r="E91">
            <v>0.25600000000000001</v>
          </cell>
          <cell r="F91">
            <v>2.0939999999999999</v>
          </cell>
          <cell r="G91">
            <v>41.875999999999998</v>
          </cell>
          <cell r="H91">
            <v>1095.55</v>
          </cell>
          <cell r="I91">
            <v>0</v>
          </cell>
          <cell r="J91">
            <v>1139.52</v>
          </cell>
          <cell r="K91">
            <v>193.72</v>
          </cell>
          <cell r="L91">
            <v>0</v>
          </cell>
          <cell r="M91">
            <v>1333.24</v>
          </cell>
        </row>
        <row r="92">
          <cell r="B92" t="str">
            <v>4-5,013</v>
          </cell>
          <cell r="C92" t="str">
            <v xml:space="preserve">Provisión e Instalación de Banco de Valvulas, D=4" ranurado </v>
          </cell>
          <cell r="D92" t="str">
            <v>glb</v>
          </cell>
          <cell r="E92">
            <v>0.25600000000000001</v>
          </cell>
          <cell r="F92">
            <v>12.836</v>
          </cell>
          <cell r="G92">
            <v>41.875999999999998</v>
          </cell>
          <cell r="H92">
            <v>1697.3</v>
          </cell>
          <cell r="I92">
            <v>0</v>
          </cell>
          <cell r="J92">
            <v>1752.0119999999999</v>
          </cell>
          <cell r="K92">
            <v>297.83999999999997</v>
          </cell>
          <cell r="L92">
            <v>0</v>
          </cell>
          <cell r="M92">
            <v>2049.85</v>
          </cell>
        </row>
        <row r="93">
          <cell r="B93" t="str">
            <v>4-5,014</v>
          </cell>
          <cell r="C93" t="str">
            <v xml:space="preserve">Provisión e Instalación de Banco de Valvulas, D=3" ranurado </v>
          </cell>
          <cell r="D93" t="str">
            <v>glb</v>
          </cell>
          <cell r="E93">
            <v>0.20399999999999999</v>
          </cell>
          <cell r="F93">
            <v>16.106999999999999</v>
          </cell>
          <cell r="G93">
            <v>52.548999999999999</v>
          </cell>
          <cell r="H93">
            <v>1430</v>
          </cell>
          <cell r="I93">
            <v>0</v>
          </cell>
          <cell r="J93">
            <v>1498.6559999999999</v>
          </cell>
          <cell r="K93">
            <v>254.77</v>
          </cell>
          <cell r="L93">
            <v>0</v>
          </cell>
          <cell r="M93">
            <v>1753.43</v>
          </cell>
        </row>
        <row r="94">
          <cell r="B94" t="str">
            <v>4-5,016</v>
          </cell>
          <cell r="C94" t="str">
            <v>Provisión e Instalación de Siamesa 4"x2-1/2"x2-1/2" (inc. Valv. De compuerta y valv. Check 4")</v>
          </cell>
          <cell r="D94" t="str">
            <v>glb</v>
          </cell>
          <cell r="E94">
            <v>0.20399999999999999</v>
          </cell>
          <cell r="F94">
            <v>16.106999999999999</v>
          </cell>
          <cell r="G94">
            <v>52.548999999999999</v>
          </cell>
          <cell r="H94">
            <v>1147.3</v>
          </cell>
          <cell r="I94">
            <v>0</v>
          </cell>
          <cell r="J94">
            <v>1215.9559999999999</v>
          </cell>
          <cell r="K94">
            <v>206.71</v>
          </cell>
          <cell r="L94">
            <v>0</v>
          </cell>
          <cell r="M94">
            <v>1422.67</v>
          </cell>
        </row>
        <row r="95">
          <cell r="B95" t="str">
            <v>4-5,017.1</v>
          </cell>
          <cell r="C95" t="str">
            <v xml:space="preserve">Soporte acero inoxidable tipo pera </v>
          </cell>
          <cell r="D95" t="str">
            <v>u</v>
          </cell>
          <cell r="E95">
            <v>1.02</v>
          </cell>
          <cell r="F95">
            <v>1.827</v>
          </cell>
          <cell r="G95">
            <v>7.1269999999999998</v>
          </cell>
          <cell r="H95">
            <v>13.42</v>
          </cell>
          <cell r="I95">
            <v>0</v>
          </cell>
          <cell r="J95">
            <v>22.373999999999999</v>
          </cell>
          <cell r="K95">
            <v>3.8</v>
          </cell>
          <cell r="L95">
            <v>0</v>
          </cell>
          <cell r="M95">
            <v>26.17</v>
          </cell>
        </row>
        <row r="96">
          <cell r="B96" t="str">
            <v>4-5,018</v>
          </cell>
          <cell r="C96" t="str">
            <v>Provisión e instal. de acc. de conexión de equipo de bombeo de 20-25HP, (incluye: válvulas de compuerta, check, de alivio, valv. de pie, medidor de flujo).</v>
          </cell>
          <cell r="D96" t="str">
            <v>glb</v>
          </cell>
          <cell r="E96">
            <v>1.32E-2</v>
          </cell>
          <cell r="F96">
            <v>521.28800000000001</v>
          </cell>
          <cell r="G96">
            <v>1334.85</v>
          </cell>
          <cell r="H96">
            <v>3139.248</v>
          </cell>
          <cell r="I96">
            <v>0</v>
          </cell>
          <cell r="J96">
            <v>4995.3860000000004</v>
          </cell>
          <cell r="K96">
            <v>849.22</v>
          </cell>
          <cell r="L96">
            <v>0</v>
          </cell>
          <cell r="M96">
            <v>5844.61</v>
          </cell>
        </row>
        <row r="97">
          <cell r="B97" t="str">
            <v>4-5,037</v>
          </cell>
          <cell r="C97" t="str">
            <v>Provisión, inst. y puesta en funcionamiento de Equipo de Bombeo NFPA20 (Incluye Bomba principal turbina vertical electrica de Q:250gpm@100psi-25HP, bomba Jokey NFPA-20 de Q:15gpm@100psi-2HP-220/3F; Panel de control para bomba 1 y 2).</v>
          </cell>
          <cell r="D97" t="str">
            <v>glb</v>
          </cell>
          <cell r="E97">
            <v>1.12035E-2</v>
          </cell>
          <cell r="F97">
            <v>614.18299999999999</v>
          </cell>
          <cell r="G97">
            <v>1572.721</v>
          </cell>
          <cell r="H97">
            <v>33110</v>
          </cell>
          <cell r="I97">
            <v>0</v>
          </cell>
          <cell r="J97">
            <v>35296.904000000002</v>
          </cell>
          <cell r="K97">
            <v>6000.47</v>
          </cell>
          <cell r="L97">
            <v>0</v>
          </cell>
          <cell r="M97">
            <v>41297.370000000003</v>
          </cell>
        </row>
        <row r="98">
          <cell r="B98" t="str">
            <v>4-5,023</v>
          </cell>
          <cell r="C98" t="str">
            <v xml:space="preserve">Extintor de PQS cap. 10lbs </v>
          </cell>
          <cell r="D98" t="str">
            <v>u</v>
          </cell>
          <cell r="E98">
            <v>1.0249999999999999</v>
          </cell>
          <cell r="F98">
            <v>0.35499999999999998</v>
          </cell>
          <cell r="G98">
            <v>7.093</v>
          </cell>
          <cell r="H98">
            <v>51.7</v>
          </cell>
          <cell r="I98">
            <v>0</v>
          </cell>
          <cell r="J98">
            <v>59.148000000000003</v>
          </cell>
          <cell r="K98">
            <v>10.06</v>
          </cell>
          <cell r="L98">
            <v>0</v>
          </cell>
          <cell r="M98">
            <v>69.209999999999994</v>
          </cell>
        </row>
        <row r="99">
          <cell r="B99" t="str">
            <v>4-5,025</v>
          </cell>
          <cell r="C99" t="str">
            <v xml:space="preserve">Extintor de CO2 cap. 10lbs </v>
          </cell>
          <cell r="D99" t="str">
            <v>u</v>
          </cell>
          <cell r="E99">
            <v>1.0249999999999999</v>
          </cell>
          <cell r="F99">
            <v>0.35499999999999998</v>
          </cell>
          <cell r="G99">
            <v>7.093</v>
          </cell>
          <cell r="H99">
            <v>51.7</v>
          </cell>
          <cell r="I99">
            <v>0</v>
          </cell>
          <cell r="J99">
            <v>59.148000000000003</v>
          </cell>
          <cell r="K99">
            <v>10.06</v>
          </cell>
          <cell r="L99">
            <v>0</v>
          </cell>
          <cell r="M99">
            <v>69.209999999999994</v>
          </cell>
        </row>
        <row r="100">
          <cell r="B100" t="str">
            <v>4-5,030</v>
          </cell>
          <cell r="C100" t="str">
            <v>Provisión e Instalación de Válvula de compuerta 4" victaulic</v>
          </cell>
          <cell r="D100" t="str">
            <v>glb</v>
          </cell>
          <cell r="E100">
            <v>0.20399999999999999</v>
          </cell>
          <cell r="F100">
            <v>16.106999999999999</v>
          </cell>
          <cell r="G100">
            <v>52.548999999999999</v>
          </cell>
          <cell r="H100">
            <v>355.3</v>
          </cell>
          <cell r="I100">
            <v>0</v>
          </cell>
          <cell r="J100">
            <v>423.95600000000002</v>
          </cell>
          <cell r="K100">
            <v>72.069999999999993</v>
          </cell>
          <cell r="L100">
            <v>0</v>
          </cell>
          <cell r="M100">
            <v>496.03</v>
          </cell>
        </row>
        <row r="101">
          <cell r="B101" t="str">
            <v>4-5,040</v>
          </cell>
          <cell r="C101" t="str">
            <v xml:space="preserve">Conexión y Guía de aapp de 90mm pvc presión u/z 0.8MPa para Hidrante SCI (incluye: accesorios, anclajes, rotura y reposición de pavimento) </v>
          </cell>
          <cell r="D101" t="str">
            <v>glb</v>
          </cell>
          <cell r="E101">
            <v>6.5000000000000002E-2</v>
          </cell>
          <cell r="F101">
            <v>10.839</v>
          </cell>
          <cell r="G101">
            <v>216.77</v>
          </cell>
          <cell r="H101">
            <v>250.398</v>
          </cell>
          <cell r="I101">
            <v>0</v>
          </cell>
          <cell r="J101">
            <v>478.00700000000001</v>
          </cell>
          <cell r="K101">
            <v>81.260000000000005</v>
          </cell>
          <cell r="L101">
            <v>0</v>
          </cell>
          <cell r="M101">
            <v>559.27</v>
          </cell>
        </row>
        <row r="103">
          <cell r="B103" t="str">
            <v>4-3,002.1</v>
          </cell>
          <cell r="C103" t="str">
            <v>Provisión, instalación y prueba de Tub. PVC Di=250mm serie 5</v>
          </cell>
          <cell r="D103" t="str">
            <v>m</v>
          </cell>
          <cell r="E103">
            <v>2.778</v>
          </cell>
          <cell r="F103">
            <v>2.1360000000000001</v>
          </cell>
          <cell r="G103">
            <v>11.395</v>
          </cell>
          <cell r="H103">
            <v>22.992000000000001</v>
          </cell>
          <cell r="I103">
            <v>0</v>
          </cell>
          <cell r="J103">
            <v>36.523000000000003</v>
          </cell>
          <cell r="K103">
            <v>6.21</v>
          </cell>
          <cell r="L103">
            <v>0</v>
          </cell>
          <cell r="M103">
            <v>42.73</v>
          </cell>
        </row>
        <row r="104">
          <cell r="B104" t="str">
            <v>4-3,006.1</v>
          </cell>
          <cell r="C104" t="str">
            <v>Suministro e instalacion de Tub. Pvc SCH 40 desagüe D=6" (160mm) + acc.</v>
          </cell>
          <cell r="D104" t="str">
            <v>m</v>
          </cell>
          <cell r="E104">
            <v>5</v>
          </cell>
          <cell r="F104">
            <v>0.61699999999999999</v>
          </cell>
          <cell r="G104">
            <v>6.33</v>
          </cell>
          <cell r="H104">
            <v>27.89</v>
          </cell>
          <cell r="I104">
            <v>0</v>
          </cell>
          <cell r="J104">
            <v>34.837000000000003</v>
          </cell>
          <cell r="K104">
            <v>5.92</v>
          </cell>
          <cell r="L104">
            <v>0</v>
          </cell>
          <cell r="M104">
            <v>40.76</v>
          </cell>
        </row>
        <row r="105">
          <cell r="B105" t="str">
            <v>4-3,007.1</v>
          </cell>
          <cell r="C105" t="str">
            <v>Suministro e instalacion de Tub. Pvc SCH 40 desagüe D=4" (110mm) + acc.</v>
          </cell>
          <cell r="D105" t="str">
            <v>m</v>
          </cell>
          <cell r="E105">
            <v>2.5</v>
          </cell>
          <cell r="F105">
            <v>0.88200000000000001</v>
          </cell>
          <cell r="G105">
            <v>5.6360000000000001</v>
          </cell>
          <cell r="H105">
            <v>19.87</v>
          </cell>
          <cell r="I105">
            <v>0</v>
          </cell>
          <cell r="J105">
            <v>26.388000000000002</v>
          </cell>
          <cell r="K105">
            <v>4.49</v>
          </cell>
          <cell r="L105">
            <v>0</v>
          </cell>
          <cell r="M105">
            <v>30.88</v>
          </cell>
        </row>
        <row r="106">
          <cell r="B106" t="str">
            <v>4-3,008.1</v>
          </cell>
          <cell r="C106" t="str">
            <v>Suministro e instalacion de Tub. Pvc  SCH 40 desagüe D=3" (75mm) + acc.</v>
          </cell>
          <cell r="D106" t="str">
            <v>m</v>
          </cell>
          <cell r="E106">
            <v>4</v>
          </cell>
          <cell r="F106">
            <v>0.55100000000000005</v>
          </cell>
          <cell r="G106">
            <v>3.524</v>
          </cell>
          <cell r="H106">
            <v>13.72</v>
          </cell>
          <cell r="I106">
            <v>0</v>
          </cell>
          <cell r="J106">
            <v>17.795000000000002</v>
          </cell>
          <cell r="K106">
            <v>3.03</v>
          </cell>
          <cell r="L106">
            <v>0</v>
          </cell>
          <cell r="M106">
            <v>20.83</v>
          </cell>
        </row>
        <row r="107">
          <cell r="B107" t="str">
            <v>4-3,009.1</v>
          </cell>
          <cell r="C107" t="str">
            <v>Suministro e instalacion de Tub. Pvc SCH 40 desagüe  D=2" (50mm) + acc.</v>
          </cell>
          <cell r="D107" t="str">
            <v>m</v>
          </cell>
          <cell r="E107">
            <v>4</v>
          </cell>
          <cell r="F107">
            <v>0.55100000000000005</v>
          </cell>
          <cell r="G107">
            <v>3.524</v>
          </cell>
          <cell r="H107">
            <v>4.05</v>
          </cell>
          <cell r="I107">
            <v>0</v>
          </cell>
          <cell r="J107">
            <v>8.125</v>
          </cell>
          <cell r="K107">
            <v>1.38</v>
          </cell>
          <cell r="L107">
            <v>0</v>
          </cell>
          <cell r="M107">
            <v>9.51</v>
          </cell>
        </row>
        <row r="108">
          <cell r="B108" t="str">
            <v>4-3,010.1</v>
          </cell>
          <cell r="C108" t="str">
            <v xml:space="preserve">Puntos Pvc SCH 40 desagüe  D=6" (160mm) </v>
          </cell>
          <cell r="D108" t="str">
            <v>u</v>
          </cell>
          <cell r="E108">
            <v>0.625</v>
          </cell>
          <cell r="F108">
            <v>1.4</v>
          </cell>
          <cell r="G108">
            <v>28</v>
          </cell>
          <cell r="H108">
            <v>30.056000000000001</v>
          </cell>
          <cell r="I108">
            <v>0</v>
          </cell>
          <cell r="J108">
            <v>59.456000000000003</v>
          </cell>
          <cell r="K108">
            <v>10.11</v>
          </cell>
          <cell r="L108">
            <v>0</v>
          </cell>
          <cell r="M108">
            <v>69.569999999999993</v>
          </cell>
        </row>
        <row r="109">
          <cell r="B109" t="str">
            <v>4-3,011.1</v>
          </cell>
          <cell r="C109" t="str">
            <v xml:space="preserve">Puntos Pvc SCH 40 desagüe  D=4" (110mm) </v>
          </cell>
          <cell r="D109" t="str">
            <v>u</v>
          </cell>
          <cell r="E109">
            <v>0.625</v>
          </cell>
          <cell r="F109">
            <v>1.4</v>
          </cell>
          <cell r="G109">
            <v>28</v>
          </cell>
          <cell r="H109">
            <v>18.47</v>
          </cell>
          <cell r="I109">
            <v>0</v>
          </cell>
          <cell r="J109">
            <v>47.87</v>
          </cell>
          <cell r="K109">
            <v>8.14</v>
          </cell>
          <cell r="L109">
            <v>0</v>
          </cell>
          <cell r="M109">
            <v>56.01</v>
          </cell>
        </row>
        <row r="110">
          <cell r="B110" t="str">
            <v>4-3,012.1</v>
          </cell>
          <cell r="C110" t="str">
            <v xml:space="preserve">Puntos Pvc SCH 40 desagüe  D=3" (75mm) </v>
          </cell>
          <cell r="D110" t="str">
            <v>u</v>
          </cell>
          <cell r="E110">
            <v>0.625</v>
          </cell>
          <cell r="F110">
            <v>1.4</v>
          </cell>
          <cell r="G110">
            <v>28</v>
          </cell>
          <cell r="H110">
            <v>13.242000000000001</v>
          </cell>
          <cell r="I110">
            <v>0</v>
          </cell>
          <cell r="J110">
            <v>42.642000000000003</v>
          </cell>
          <cell r="K110">
            <v>7.25</v>
          </cell>
          <cell r="L110">
            <v>0</v>
          </cell>
          <cell r="M110">
            <v>49.89</v>
          </cell>
        </row>
        <row r="111">
          <cell r="B111" t="str">
            <v>4-3,013.1</v>
          </cell>
          <cell r="C111" t="str">
            <v xml:space="preserve">Puntos Pvc SCH 40 desagüe  D=2" (50mm) </v>
          </cell>
          <cell r="D111" t="str">
            <v>u</v>
          </cell>
          <cell r="E111">
            <v>0.625</v>
          </cell>
          <cell r="F111">
            <v>1.4</v>
          </cell>
          <cell r="G111">
            <v>28</v>
          </cell>
          <cell r="H111">
            <v>8.5519999999999996</v>
          </cell>
          <cell r="I111">
            <v>0</v>
          </cell>
          <cell r="J111">
            <v>37.951999999999998</v>
          </cell>
          <cell r="K111">
            <v>6.45</v>
          </cell>
          <cell r="L111">
            <v>0</v>
          </cell>
          <cell r="M111">
            <v>44.4</v>
          </cell>
        </row>
        <row r="112">
          <cell r="B112" t="str">
            <v>4-3,006.2</v>
          </cell>
          <cell r="C112" t="str">
            <v>Suministro e instalacion de Tub. Pvc SCH 80 desagüe D=6" (160mm) + acc.</v>
          </cell>
          <cell r="D112" t="str">
            <v>m</v>
          </cell>
          <cell r="E112">
            <v>5</v>
          </cell>
          <cell r="F112">
            <v>0.317</v>
          </cell>
          <cell r="G112">
            <v>6.33</v>
          </cell>
          <cell r="H112">
            <v>40.799999999999997</v>
          </cell>
          <cell r="I112">
            <v>0</v>
          </cell>
          <cell r="J112">
            <v>47.447000000000003</v>
          </cell>
          <cell r="K112">
            <v>8.07</v>
          </cell>
          <cell r="L112">
            <v>0</v>
          </cell>
          <cell r="M112">
            <v>55.52</v>
          </cell>
        </row>
        <row r="113">
          <cell r="B113" t="str">
            <v>4-3,007.2</v>
          </cell>
          <cell r="C113" t="str">
            <v>Suministro e instalacion de Tub. Pvc SCH 80 desagüe D=4" (110mm) + acc.</v>
          </cell>
          <cell r="D113" t="str">
            <v>m</v>
          </cell>
          <cell r="E113">
            <v>2.5</v>
          </cell>
          <cell r="F113">
            <v>0.28199999999999997</v>
          </cell>
          <cell r="G113">
            <v>5.6360000000000001</v>
          </cell>
          <cell r="H113">
            <v>25.63</v>
          </cell>
          <cell r="I113">
            <v>0</v>
          </cell>
          <cell r="J113">
            <v>31.547999999999998</v>
          </cell>
          <cell r="K113">
            <v>5.36</v>
          </cell>
          <cell r="L113">
            <v>0</v>
          </cell>
          <cell r="M113">
            <v>36.909999999999997</v>
          </cell>
        </row>
        <row r="114">
          <cell r="B114" t="str">
            <v>4-3,000</v>
          </cell>
          <cell r="C114" t="str">
            <v>Camaras de H.A  tipo 1 (interagua) hasta 2,50 mts de altura con tapa de H.D. d 650mm-40tn (inc. Excav., relleno, desalojo).</v>
          </cell>
          <cell r="D114" t="str">
            <v>u</v>
          </cell>
          <cell r="E114">
            <v>3.7999999999999999E-2</v>
          </cell>
          <cell r="F114">
            <v>382.82100000000003</v>
          </cell>
          <cell r="G114">
            <v>866.947</v>
          </cell>
          <cell r="H114">
            <v>1777.0429999999999</v>
          </cell>
          <cell r="I114">
            <v>0</v>
          </cell>
          <cell r="J114">
            <v>3026.8110000000001</v>
          </cell>
          <cell r="K114">
            <v>514.55999999999995</v>
          </cell>
          <cell r="L114">
            <v>0</v>
          </cell>
          <cell r="M114">
            <v>3541.37</v>
          </cell>
        </row>
        <row r="115">
          <cell r="B115" t="str">
            <v>4-3,021.1</v>
          </cell>
          <cell r="C115" t="str">
            <v>Rejillas de acero inoxidable DN400 kn de 0.50x0.50m (inc. marco y contramarco de acero inoxidable)</v>
          </cell>
          <cell r="D115" t="str">
            <v>u</v>
          </cell>
          <cell r="E115">
            <v>0.66700000000000004</v>
          </cell>
          <cell r="F115">
            <v>1.0620000000000001</v>
          </cell>
          <cell r="G115">
            <v>21.242999999999999</v>
          </cell>
          <cell r="H115">
            <v>357.5</v>
          </cell>
          <cell r="I115">
            <v>0</v>
          </cell>
          <cell r="J115">
            <v>379.80500000000001</v>
          </cell>
          <cell r="K115">
            <v>64.569999999999993</v>
          </cell>
          <cell r="L115">
            <v>0</v>
          </cell>
          <cell r="M115">
            <v>444.38</v>
          </cell>
        </row>
        <row r="116">
          <cell r="B116" t="str">
            <v>4-3,021.2</v>
          </cell>
          <cell r="C116" t="str">
            <v>Canaleta con rejillas de acero inoxidable DN400 kn de (0.30x1.00)m (inc. Marco, contramarco y fondo 0,15m de acero inoxidable)</v>
          </cell>
          <cell r="D116" t="str">
            <v>ml</v>
          </cell>
          <cell r="E116">
            <v>0.66700000000000004</v>
          </cell>
          <cell r="F116">
            <v>1.0620000000000001</v>
          </cell>
          <cell r="G116">
            <v>21.242999999999999</v>
          </cell>
          <cell r="H116">
            <v>495</v>
          </cell>
          <cell r="I116">
            <v>0</v>
          </cell>
          <cell r="J116">
            <v>517.30499999999995</v>
          </cell>
          <cell r="K116">
            <v>87.94</v>
          </cell>
          <cell r="L116">
            <v>0</v>
          </cell>
          <cell r="M116">
            <v>605.25</v>
          </cell>
        </row>
        <row r="118">
          <cell r="B118" t="str">
            <v>4-6,009.1</v>
          </cell>
          <cell r="C118" t="str">
            <v>Hormigon estructural F'c=350 Kg/cm2 inc. Encofrado</v>
          </cell>
          <cell r="D118" t="str">
            <v>m3</v>
          </cell>
          <cell r="E118">
            <v>0.5</v>
          </cell>
          <cell r="F118">
            <v>1.75</v>
          </cell>
          <cell r="G118">
            <v>35</v>
          </cell>
          <cell r="H118">
            <v>207.00200000000001</v>
          </cell>
          <cell r="I118">
            <v>0</v>
          </cell>
          <cell r="J118">
            <v>243.75200000000001</v>
          </cell>
          <cell r="K118">
            <v>41.44</v>
          </cell>
          <cell r="L118">
            <v>0</v>
          </cell>
          <cell r="M118">
            <v>285.19</v>
          </cell>
        </row>
        <row r="120">
          <cell r="B120" t="str">
            <v>4-4,009.1</v>
          </cell>
          <cell r="C120" t="str">
            <v>Caja Sumidero Horizontal de H.S, con Rejilla de H.F (45x72)cm</v>
          </cell>
          <cell r="D120" t="str">
            <v>u</v>
          </cell>
          <cell r="E120">
            <v>0.2</v>
          </cell>
          <cell r="F120">
            <v>20.375</v>
          </cell>
          <cell r="G120">
            <v>87.5</v>
          </cell>
          <cell r="H120">
            <v>258.44099999999997</v>
          </cell>
          <cell r="I120">
            <v>0</v>
          </cell>
          <cell r="J120">
            <v>366.31599999999997</v>
          </cell>
          <cell r="K120">
            <v>62.27</v>
          </cell>
          <cell r="L120">
            <v>0</v>
          </cell>
          <cell r="M120">
            <v>428.59</v>
          </cell>
        </row>
        <row r="122">
          <cell r="B122" t="str">
            <v>4-3,005</v>
          </cell>
          <cell r="C122" t="str">
            <v>Provisión, instalación y prueba de Tub. De H.A D=500mm</v>
          </cell>
          <cell r="D122" t="str">
            <v>m</v>
          </cell>
          <cell r="E122">
            <v>1</v>
          </cell>
          <cell r="F122">
            <v>6.2789999999999999</v>
          </cell>
          <cell r="G122">
            <v>22.088000000000001</v>
          </cell>
          <cell r="H122">
            <v>111.833</v>
          </cell>
          <cell r="I122">
            <v>0</v>
          </cell>
          <cell r="J122">
            <v>140.19999999999999</v>
          </cell>
          <cell r="K122">
            <v>23.83</v>
          </cell>
          <cell r="L122">
            <v>0</v>
          </cell>
          <cell r="M122">
            <v>164.03</v>
          </cell>
        </row>
        <row r="123">
          <cell r="B123" t="str">
            <v>4-3,004.1</v>
          </cell>
          <cell r="C123" t="str">
            <v>Provisión, instalación y prueba de Tub. PVC Di=450mm serie 5</v>
          </cell>
          <cell r="D123" t="str">
            <v>m</v>
          </cell>
          <cell r="E123">
            <v>2.5</v>
          </cell>
          <cell r="F123">
            <v>2.3730000000000002</v>
          </cell>
          <cell r="G123">
            <v>12.66</v>
          </cell>
          <cell r="H123">
            <v>78.302000000000007</v>
          </cell>
          <cell r="I123">
            <v>0</v>
          </cell>
          <cell r="J123">
            <v>93.334999999999994</v>
          </cell>
          <cell r="K123">
            <v>15.87</v>
          </cell>
          <cell r="L123">
            <v>0</v>
          </cell>
          <cell r="M123">
            <v>109.21</v>
          </cell>
        </row>
        <row r="124">
          <cell r="B124" t="str">
            <v>4-3,004.2</v>
          </cell>
          <cell r="C124" t="str">
            <v>Provisión, instalación y prueba de Tub. PVC Di=600mm serie 5</v>
          </cell>
          <cell r="D124" t="str">
            <v>m</v>
          </cell>
          <cell r="E124">
            <v>2.5</v>
          </cell>
          <cell r="F124">
            <v>2.3730000000000002</v>
          </cell>
          <cell r="G124">
            <v>12.66</v>
          </cell>
          <cell r="H124">
            <v>122.03700000000001</v>
          </cell>
          <cell r="I124">
            <v>0</v>
          </cell>
          <cell r="J124">
            <v>137.07</v>
          </cell>
          <cell r="K124">
            <v>23.3</v>
          </cell>
          <cell r="L124">
            <v>0</v>
          </cell>
          <cell r="M124">
            <v>160.37</v>
          </cell>
        </row>
        <row r="125">
          <cell r="B125" t="str">
            <v>4-3,004.3</v>
          </cell>
          <cell r="C125" t="str">
            <v>Provisión, instalación y prueba de Tub. PVC Di=800mm serie 5</v>
          </cell>
          <cell r="D125" t="str">
            <v>m</v>
          </cell>
          <cell r="E125">
            <v>2.5</v>
          </cell>
          <cell r="F125">
            <v>2.3730000000000002</v>
          </cell>
          <cell r="G125">
            <v>12.66</v>
          </cell>
          <cell r="H125">
            <v>223.637</v>
          </cell>
          <cell r="I125">
            <v>0</v>
          </cell>
          <cell r="J125">
            <v>238.67</v>
          </cell>
          <cell r="K125">
            <v>40.57</v>
          </cell>
          <cell r="L125">
            <v>0</v>
          </cell>
          <cell r="M125">
            <v>279.24</v>
          </cell>
        </row>
        <row r="127">
          <cell r="B127" t="str">
            <v>4-8,001</v>
          </cell>
          <cell r="C127" t="str">
            <v>Suministro, Instalación y Programación del Sistema de Control de detección de humo de puntos direccionables (incluye panel de control FPA-5000 y teclado de monitoreo).</v>
          </cell>
          <cell r="D127" t="str">
            <v>u</v>
          </cell>
          <cell r="E127">
            <v>2.9000000000000001E-2</v>
          </cell>
          <cell r="F127">
            <v>28.827999999999999</v>
          </cell>
          <cell r="G127">
            <v>369.65600000000001</v>
          </cell>
          <cell r="H127">
            <v>3626.56</v>
          </cell>
          <cell r="I127">
            <v>0</v>
          </cell>
          <cell r="J127">
            <v>4025.0439999999999</v>
          </cell>
          <cell r="K127">
            <v>684.26</v>
          </cell>
          <cell r="L127">
            <v>0</v>
          </cell>
          <cell r="M127">
            <v>4709.3</v>
          </cell>
        </row>
        <row r="128">
          <cell r="B128" t="str">
            <v>4-8,002</v>
          </cell>
          <cell r="C128" t="str">
            <v>Suministro e Instalación de Detector de Humo direccionable</v>
          </cell>
          <cell r="D128" t="str">
            <v>u</v>
          </cell>
          <cell r="E128">
            <v>0.51300000000000001</v>
          </cell>
          <cell r="F128">
            <v>1.63</v>
          </cell>
          <cell r="G128">
            <v>20.896000000000001</v>
          </cell>
          <cell r="H128">
            <v>132</v>
          </cell>
          <cell r="I128">
            <v>0</v>
          </cell>
          <cell r="J128">
            <v>154.52600000000001</v>
          </cell>
          <cell r="K128">
            <v>26.27</v>
          </cell>
          <cell r="L128">
            <v>0</v>
          </cell>
          <cell r="M128">
            <v>180.8</v>
          </cell>
        </row>
        <row r="129">
          <cell r="B129" t="str">
            <v>4-8,003</v>
          </cell>
          <cell r="C129" t="str">
            <v>Suministro e Instalación de Estación manual direccionable</v>
          </cell>
          <cell r="D129" t="str">
            <v>u</v>
          </cell>
          <cell r="E129">
            <v>0.51200000000000001</v>
          </cell>
          <cell r="F129">
            <v>1.633</v>
          </cell>
          <cell r="G129">
            <v>20.937000000000001</v>
          </cell>
          <cell r="H129">
            <v>110</v>
          </cell>
          <cell r="I129">
            <v>0</v>
          </cell>
          <cell r="J129">
            <v>132.57</v>
          </cell>
          <cell r="K129">
            <v>22.54</v>
          </cell>
          <cell r="L129">
            <v>0</v>
          </cell>
          <cell r="M129">
            <v>155.11000000000001</v>
          </cell>
        </row>
        <row r="130">
          <cell r="B130" t="str">
            <v>4-8,004</v>
          </cell>
          <cell r="C130" t="str">
            <v>Punto de salida para equipo de seguridad tipo antiflama (incluye  Cable Corta Fuego Listado UL, 2 hilos sx18AWG Cu. y Tubería EMT de 1/2" + acc. EMT)</v>
          </cell>
          <cell r="D130" t="str">
            <v>pto</v>
          </cell>
          <cell r="E130">
            <v>4.6509999999999998</v>
          </cell>
          <cell r="F130">
            <v>0.18</v>
          </cell>
          <cell r="G130">
            <v>2.3050000000000002</v>
          </cell>
          <cell r="H130">
            <v>53.914000000000001</v>
          </cell>
          <cell r="I130">
            <v>0</v>
          </cell>
          <cell r="J130">
            <v>56.399000000000001</v>
          </cell>
          <cell r="K130">
            <v>9.59</v>
          </cell>
          <cell r="L130">
            <v>0</v>
          </cell>
          <cell r="M130">
            <v>65.989999999999995</v>
          </cell>
        </row>
        <row r="131">
          <cell r="B131" t="str">
            <v>4-8,005</v>
          </cell>
          <cell r="C131" t="str">
            <v>Suministro e Instalación de Sirena con Luz Estreboscopica .</v>
          </cell>
          <cell r="D131" t="str">
            <v>u</v>
          </cell>
          <cell r="E131">
            <v>0.25600000000000001</v>
          </cell>
          <cell r="F131">
            <v>3.266</v>
          </cell>
          <cell r="G131">
            <v>41.875999999999998</v>
          </cell>
          <cell r="H131">
            <v>132</v>
          </cell>
          <cell r="I131">
            <v>0</v>
          </cell>
          <cell r="J131">
            <v>177.142</v>
          </cell>
          <cell r="K131">
            <v>30.11</v>
          </cell>
          <cell r="L131">
            <v>0</v>
          </cell>
          <cell r="M131">
            <v>207.25</v>
          </cell>
        </row>
        <row r="132">
          <cell r="B132" t="str">
            <v>4-8,007</v>
          </cell>
          <cell r="C132" t="str">
            <v>Suministro e Instalación de Lámpara de emergencia, iluminación Led bifocal.</v>
          </cell>
          <cell r="D132" t="str">
            <v>u</v>
          </cell>
          <cell r="E132">
            <v>1.3660000000000001</v>
          </cell>
          <cell r="F132">
            <v>0.61199999999999999</v>
          </cell>
          <cell r="G132">
            <v>7.8479999999999999</v>
          </cell>
          <cell r="H132">
            <v>49.5</v>
          </cell>
          <cell r="I132">
            <v>0</v>
          </cell>
          <cell r="J132">
            <v>57.96</v>
          </cell>
          <cell r="K132">
            <v>9.85</v>
          </cell>
          <cell r="L132">
            <v>0</v>
          </cell>
          <cell r="M132">
            <v>67.81</v>
          </cell>
        </row>
        <row r="133">
          <cell r="B133" t="str">
            <v>4-8,008</v>
          </cell>
          <cell r="C133" t="str">
            <v>Suministro e Instalación de Letrero de Aviso de salida tipo Led.</v>
          </cell>
          <cell r="D133" t="str">
            <v>u</v>
          </cell>
          <cell r="E133">
            <v>0.48699999999999999</v>
          </cell>
          <cell r="F133">
            <v>1.7170000000000001</v>
          </cell>
          <cell r="G133">
            <v>22.012</v>
          </cell>
          <cell r="H133">
            <v>49.5</v>
          </cell>
          <cell r="I133">
            <v>0</v>
          </cell>
          <cell r="J133">
            <v>73.228999999999999</v>
          </cell>
          <cell r="K133">
            <v>12.45</v>
          </cell>
          <cell r="L133">
            <v>0</v>
          </cell>
          <cell r="M133">
            <v>85.68</v>
          </cell>
        </row>
        <row r="134">
          <cell r="B134" t="str">
            <v>4-8,013</v>
          </cell>
          <cell r="C134" t="str">
            <v>Boquilla para Descarga de 2" con angulo de 360°</v>
          </cell>
          <cell r="D134" t="str">
            <v>u</v>
          </cell>
          <cell r="E134">
            <v>0.25600000000000001</v>
          </cell>
          <cell r="F134">
            <v>2.5920000000000001</v>
          </cell>
          <cell r="G134">
            <v>28.399000000000001</v>
          </cell>
          <cell r="H134">
            <v>330</v>
          </cell>
          <cell r="I134">
            <v>0</v>
          </cell>
          <cell r="J134">
            <v>360.99099999999999</v>
          </cell>
          <cell r="K134">
            <v>61.37</v>
          </cell>
          <cell r="L134">
            <v>0</v>
          </cell>
          <cell r="M134">
            <v>422.36</v>
          </cell>
        </row>
        <row r="135">
          <cell r="B135" t="str">
            <v>4-8,014</v>
          </cell>
          <cell r="C135" t="str">
            <v>Tanque de agente Novec 1230 para capacidad max.  de carga de 900lib y de un contenido neto de agente extintor Novec por tanque de 639lb.</v>
          </cell>
          <cell r="D135" t="str">
            <v>u</v>
          </cell>
          <cell r="E135">
            <v>5.1249000000000003E-2</v>
          </cell>
          <cell r="F135">
            <v>10.459</v>
          </cell>
          <cell r="G135">
            <v>209.17400000000001</v>
          </cell>
          <cell r="H135">
            <v>7700</v>
          </cell>
          <cell r="I135">
            <v>0</v>
          </cell>
          <cell r="J135">
            <v>7919.6329999999998</v>
          </cell>
          <cell r="K135">
            <v>1346.34</v>
          </cell>
          <cell r="L135">
            <v>0</v>
          </cell>
          <cell r="M135">
            <v>9265.9699999999993</v>
          </cell>
        </row>
        <row r="136">
          <cell r="B136" t="str">
            <v>4-8,006</v>
          </cell>
          <cell r="C136" t="str">
            <v>Foto Beam</v>
          </cell>
          <cell r="D136" t="str">
            <v>u</v>
          </cell>
          <cell r="E136">
            <v>3.3000000000000002E-2</v>
          </cell>
          <cell r="F136">
            <v>25.332999999999998</v>
          </cell>
          <cell r="G136">
            <v>324.84800000000001</v>
          </cell>
          <cell r="H136">
            <v>2310</v>
          </cell>
          <cell r="I136">
            <v>0</v>
          </cell>
          <cell r="J136">
            <v>2660.181</v>
          </cell>
          <cell r="K136">
            <v>452.23</v>
          </cell>
          <cell r="L136">
            <v>0</v>
          </cell>
          <cell r="M136">
            <v>3112.41</v>
          </cell>
        </row>
        <row r="137">
          <cell r="B137" t="str">
            <v>4-2,002</v>
          </cell>
          <cell r="C137" t="str">
            <v xml:space="preserve">Tuberia de aapp de 200mm pvc presión u/z 1.0MPa (incluye accesorios y anclajes) </v>
          </cell>
          <cell r="D137" t="str">
            <v>ml</v>
          </cell>
          <cell r="E137">
            <v>1.667</v>
          </cell>
          <cell r="F137">
            <v>2.073</v>
          </cell>
          <cell r="G137">
            <v>8.4540000000000006</v>
          </cell>
          <cell r="H137">
            <v>52.97</v>
          </cell>
          <cell r="I137">
            <v>0</v>
          </cell>
          <cell r="J137">
            <v>63.497</v>
          </cell>
          <cell r="K137">
            <v>10.79</v>
          </cell>
          <cell r="L137">
            <v>0</v>
          </cell>
          <cell r="M137">
            <v>74.290000000000006</v>
          </cell>
        </row>
        <row r="138">
          <cell r="B138" t="str">
            <v>4-3,000.1</v>
          </cell>
          <cell r="C138" t="str">
            <v>Camaras de H.A  para caudalimetro con tapa metalica (inc. Excav., relleno, desalojo).</v>
          </cell>
          <cell r="D138" t="str">
            <v>u</v>
          </cell>
          <cell r="E138">
            <v>3.7999999999999999E-2</v>
          </cell>
          <cell r="F138">
            <v>448.61</v>
          </cell>
          <cell r="G138">
            <v>866.947</v>
          </cell>
          <cell r="H138">
            <v>2029.201</v>
          </cell>
          <cell r="I138">
            <v>0</v>
          </cell>
          <cell r="J138">
            <v>3344.7579999999998</v>
          </cell>
          <cell r="K138">
            <v>568.61</v>
          </cell>
          <cell r="L138">
            <v>0</v>
          </cell>
          <cell r="M138">
            <v>3913.37</v>
          </cell>
        </row>
        <row r="139">
          <cell r="B139" t="str">
            <v>4-3,000.2</v>
          </cell>
          <cell r="C139" t="str">
            <v>Camaras de H.A  para valvula principal con tapa metalica H.D.  (inc. Excav., relleno, desalojo).</v>
          </cell>
          <cell r="D139" t="str">
            <v>u</v>
          </cell>
          <cell r="E139">
            <v>3.7999999999999999E-2</v>
          </cell>
          <cell r="F139">
            <v>448.61</v>
          </cell>
          <cell r="G139">
            <v>866.947</v>
          </cell>
          <cell r="H139">
            <v>2228.33</v>
          </cell>
          <cell r="I139">
            <v>0</v>
          </cell>
          <cell r="J139">
            <v>3543.8870000000002</v>
          </cell>
          <cell r="K139">
            <v>602.46</v>
          </cell>
          <cell r="L139">
            <v>0</v>
          </cell>
          <cell r="M139">
            <v>4146.3500000000004</v>
          </cell>
        </row>
        <row r="140">
          <cell r="B140" t="str">
            <v>4-3,000.3</v>
          </cell>
          <cell r="C140" t="str">
            <v>Camaras de H.A  para valvula a la salida del reservorio con tapa metalica H.D.  (inc. Excav., relleno, desalojo).</v>
          </cell>
          <cell r="D140" t="str">
            <v>u</v>
          </cell>
          <cell r="E140">
            <v>6.7000000000000004E-2</v>
          </cell>
          <cell r="F140">
            <v>254.435</v>
          </cell>
          <cell r="G140">
            <v>491.70499999999998</v>
          </cell>
          <cell r="H140">
            <v>1049.819</v>
          </cell>
          <cell r="I140">
            <v>0</v>
          </cell>
          <cell r="J140">
            <v>1795.9590000000001</v>
          </cell>
          <cell r="K140">
            <v>305.31</v>
          </cell>
          <cell r="L140">
            <v>0</v>
          </cell>
          <cell r="M140">
            <v>2101.27</v>
          </cell>
        </row>
        <row r="141">
          <cell r="B141" t="str">
            <v>4-5,001</v>
          </cell>
          <cell r="C141" t="str">
            <v>Tubería Acero Negro SCH 40, D=8" + Accesorios</v>
          </cell>
          <cell r="D141" t="str">
            <v>m</v>
          </cell>
          <cell r="E141">
            <v>1.8480000000000001</v>
          </cell>
          <cell r="F141">
            <v>7.9210000000000003</v>
          </cell>
          <cell r="G141">
            <v>15.026</v>
          </cell>
          <cell r="H141">
            <v>68.385000000000005</v>
          </cell>
          <cell r="I141">
            <v>0</v>
          </cell>
          <cell r="J141">
            <v>91.331999999999994</v>
          </cell>
          <cell r="K141">
            <v>15.53</v>
          </cell>
          <cell r="L141">
            <v>0</v>
          </cell>
          <cell r="M141">
            <v>106.86</v>
          </cell>
        </row>
        <row r="142">
          <cell r="B142" t="str">
            <v>4-3,002.10</v>
          </cell>
          <cell r="C142" t="str">
            <v>Suministro e instalacion de Tub. Pvc SCH 80 desagüe D=8" (200mm) + acc.</v>
          </cell>
          <cell r="D142" t="str">
            <v>m</v>
          </cell>
          <cell r="E142">
            <v>5</v>
          </cell>
          <cell r="F142">
            <v>1.1870000000000001</v>
          </cell>
          <cell r="G142">
            <v>6.33</v>
          </cell>
          <cell r="H142">
            <v>65.174999999999997</v>
          </cell>
          <cell r="I142">
            <v>0</v>
          </cell>
          <cell r="J142">
            <v>72.691999999999993</v>
          </cell>
          <cell r="K142">
            <v>12.36</v>
          </cell>
          <cell r="L142">
            <v>0</v>
          </cell>
          <cell r="M142">
            <v>85.05</v>
          </cell>
        </row>
        <row r="143">
          <cell r="B143" t="str">
            <v>4-3,003.10</v>
          </cell>
          <cell r="C143" t="str">
            <v>Suministro e instalacion de Tub. Pvc SCH 80 desagüe D=12" (300mm) + acc.</v>
          </cell>
          <cell r="D143" t="str">
            <v>m</v>
          </cell>
          <cell r="E143">
            <v>2.778</v>
          </cell>
          <cell r="F143">
            <v>2.1360000000000001</v>
          </cell>
          <cell r="G143">
            <v>11.395</v>
          </cell>
          <cell r="H143">
            <v>104.44499999999999</v>
          </cell>
          <cell r="I143">
            <v>0</v>
          </cell>
          <cell r="J143">
            <v>117.976</v>
          </cell>
          <cell r="K143">
            <v>20.059999999999999</v>
          </cell>
          <cell r="L143">
            <v>0</v>
          </cell>
          <cell r="M143">
            <v>138.04</v>
          </cell>
        </row>
        <row r="144">
          <cell r="B144" t="str">
            <v>4-5,002.1</v>
          </cell>
          <cell r="C144" t="str">
            <v>Tubería Acero Inoxidable SCH 10, D=6" + Accesorios</v>
          </cell>
          <cell r="D144" t="str">
            <v>m</v>
          </cell>
          <cell r="E144">
            <v>1.8480000000000001</v>
          </cell>
          <cell r="F144">
            <v>7.9210000000000003</v>
          </cell>
          <cell r="G144">
            <v>15.026</v>
          </cell>
          <cell r="H144">
            <v>230.72200000000001</v>
          </cell>
          <cell r="I144">
            <v>0</v>
          </cell>
          <cell r="J144">
            <v>253.66900000000001</v>
          </cell>
          <cell r="K144">
            <v>43.12</v>
          </cell>
          <cell r="L144">
            <v>0</v>
          </cell>
          <cell r="M144">
            <v>296.79000000000002</v>
          </cell>
        </row>
        <row r="145">
          <cell r="B145" t="str">
            <v>4-5,003.1</v>
          </cell>
          <cell r="C145" t="str">
            <v>Tubería Acero Inoxidable SCH 10, D=4" + Accesorios</v>
          </cell>
          <cell r="D145" t="str">
            <v>m</v>
          </cell>
          <cell r="E145">
            <v>2.0329999999999999</v>
          </cell>
          <cell r="F145">
            <v>7.2009999999999996</v>
          </cell>
          <cell r="G145">
            <v>13.657999999999999</v>
          </cell>
          <cell r="H145">
            <v>158.74799999999999</v>
          </cell>
          <cell r="I145">
            <v>0</v>
          </cell>
          <cell r="J145">
            <v>179.607</v>
          </cell>
          <cell r="K145">
            <v>30.53</v>
          </cell>
          <cell r="L145">
            <v>0</v>
          </cell>
          <cell r="M145">
            <v>210.14</v>
          </cell>
        </row>
        <row r="146">
          <cell r="B146" t="str">
            <v>4-5,001.1</v>
          </cell>
          <cell r="C146" t="str">
            <v>Tubería Acero Inoxidable SCH 10, D=8" + Accesorios</v>
          </cell>
          <cell r="D146" t="str">
            <v>m</v>
          </cell>
          <cell r="E146">
            <v>1.8480000000000001</v>
          </cell>
          <cell r="F146">
            <v>7.9210000000000003</v>
          </cell>
          <cell r="G146">
            <v>15.026</v>
          </cell>
          <cell r="H146">
            <v>274.57100000000003</v>
          </cell>
          <cell r="I146">
            <v>0</v>
          </cell>
          <cell r="J146">
            <v>297.51799999999997</v>
          </cell>
          <cell r="K146">
            <v>50.58</v>
          </cell>
          <cell r="L146">
            <v>0</v>
          </cell>
          <cell r="M146">
            <v>348.1</v>
          </cell>
        </row>
        <row r="147">
          <cell r="B147" t="str">
            <v>4-7,001</v>
          </cell>
          <cell r="C147" t="str">
            <v xml:space="preserve">Tuberia de aapp de 200mm pvc presión u/z 1.0MPa (incluye accesorios y anclajes) </v>
          </cell>
          <cell r="D147" t="str">
            <v>ml</v>
          </cell>
          <cell r="E147">
            <v>2</v>
          </cell>
          <cell r="F147">
            <v>1.7270000000000001</v>
          </cell>
          <cell r="G147">
            <v>7.0449999999999999</v>
          </cell>
          <cell r="H147">
            <v>62.87</v>
          </cell>
          <cell r="I147">
            <v>0</v>
          </cell>
          <cell r="J147">
            <v>71.641999999999996</v>
          </cell>
          <cell r="K147">
            <v>12.18</v>
          </cell>
          <cell r="L147">
            <v>0</v>
          </cell>
          <cell r="M147">
            <v>83.82</v>
          </cell>
        </row>
        <row r="148">
          <cell r="B148" t="str">
            <v>4-7,002</v>
          </cell>
          <cell r="C148" t="str">
            <v xml:space="preserve">Tuberia de aapp de 160mm pvc presión u/z 1.0MPa (incluye accesorios y anclajes) </v>
          </cell>
          <cell r="D148" t="str">
            <v>ml</v>
          </cell>
          <cell r="E148">
            <v>2</v>
          </cell>
          <cell r="F148">
            <v>1.7270000000000001</v>
          </cell>
          <cell r="G148">
            <v>7.0449999999999999</v>
          </cell>
          <cell r="H148">
            <v>39.83</v>
          </cell>
          <cell r="I148">
            <v>0</v>
          </cell>
          <cell r="J148">
            <v>48.601999999999997</v>
          </cell>
          <cell r="K148">
            <v>8.26</v>
          </cell>
          <cell r="L148">
            <v>0</v>
          </cell>
          <cell r="M148">
            <v>56.86</v>
          </cell>
        </row>
        <row r="149">
          <cell r="B149" t="str">
            <v>4-7,003</v>
          </cell>
          <cell r="C149" t="str">
            <v xml:space="preserve">Tuberia de aapp de 110mm pvc presión u/z 1.0MPa (incluye accesorios y anclajes) </v>
          </cell>
          <cell r="D149" t="str">
            <v>ml</v>
          </cell>
          <cell r="E149">
            <v>2</v>
          </cell>
          <cell r="F149">
            <v>1.7270000000000001</v>
          </cell>
          <cell r="G149">
            <v>7.0449999999999999</v>
          </cell>
          <cell r="H149">
            <v>18.856000000000002</v>
          </cell>
          <cell r="I149">
            <v>0</v>
          </cell>
          <cell r="J149">
            <v>27.628</v>
          </cell>
          <cell r="K149">
            <v>4.7</v>
          </cell>
          <cell r="L149">
            <v>0</v>
          </cell>
          <cell r="M149">
            <v>32.33</v>
          </cell>
        </row>
        <row r="150">
          <cell r="B150" t="str">
            <v>4-7,004</v>
          </cell>
          <cell r="C150" t="str">
            <v xml:space="preserve">Tuberia de aapp de 90mm pvc presión u/z 1.0MPa (incluye accesorios y anclajes) </v>
          </cell>
          <cell r="D150" t="str">
            <v>ml</v>
          </cell>
          <cell r="E150">
            <v>2</v>
          </cell>
          <cell r="F150">
            <v>1.7270000000000001</v>
          </cell>
          <cell r="G150">
            <v>7.0449999999999999</v>
          </cell>
          <cell r="H150">
            <v>12.423999999999999</v>
          </cell>
          <cell r="I150">
            <v>0</v>
          </cell>
          <cell r="J150">
            <v>21.196000000000002</v>
          </cell>
          <cell r="K150">
            <v>3.6</v>
          </cell>
          <cell r="L150">
            <v>0</v>
          </cell>
          <cell r="M150">
            <v>24.8</v>
          </cell>
        </row>
        <row r="151">
          <cell r="B151" t="str">
            <v>4-2,044.1</v>
          </cell>
          <cell r="C151" t="str">
            <v>Provisión e instal. De tuberias, accesorios, valvulas del equipo de bombeo, by pass y equipamiento de reservorio</v>
          </cell>
          <cell r="D151" t="str">
            <v>glb</v>
          </cell>
          <cell r="E151">
            <v>2E-3</v>
          </cell>
          <cell r="F151">
            <v>2145.25</v>
          </cell>
          <cell r="G151">
            <v>13905</v>
          </cell>
          <cell r="H151">
            <v>63456.315999999999</v>
          </cell>
          <cell r="I151">
            <v>0</v>
          </cell>
          <cell r="J151">
            <v>79506.566000000006</v>
          </cell>
          <cell r="K151">
            <v>13516.12</v>
          </cell>
          <cell r="L151">
            <v>0</v>
          </cell>
          <cell r="M151">
            <v>93022.69</v>
          </cell>
        </row>
        <row r="152">
          <cell r="B152" t="str">
            <v>4-3,026.1</v>
          </cell>
          <cell r="C152" t="str">
            <v>Caja de Registro de H.S (60x60x60) cm, con Tapa de acero inoxidable inc. Marco y contramarco con junta de neopreno y tornillos de cierre tipo Allen</v>
          </cell>
          <cell r="D152" t="str">
            <v>u</v>
          </cell>
          <cell r="E152">
            <v>0.2</v>
          </cell>
          <cell r="F152">
            <v>20.375</v>
          </cell>
          <cell r="G152">
            <v>87.5</v>
          </cell>
          <cell r="H152">
            <v>512.61400000000003</v>
          </cell>
          <cell r="I152">
            <v>0</v>
          </cell>
          <cell r="J152">
            <v>620.48900000000003</v>
          </cell>
          <cell r="K152">
            <v>105.48</v>
          </cell>
          <cell r="L152">
            <v>0</v>
          </cell>
          <cell r="M152">
            <v>725.97</v>
          </cell>
        </row>
        <row r="153">
          <cell r="B153" t="str">
            <v>4-3,026.2</v>
          </cell>
          <cell r="C153" t="str">
            <v xml:space="preserve">Caja de Registro de H.S (60x60x60) cm y rejilla perforada en acero inoxidable de (30x30) cm, inc. sumidero telescopico para tela de impermeabilizacion, salida vertical, rejilla perforada y cesto de solidos. </v>
          </cell>
          <cell r="D153" t="str">
            <v>u</v>
          </cell>
          <cell r="E153">
            <v>0.2</v>
          </cell>
          <cell r="F153">
            <v>20.375</v>
          </cell>
          <cell r="G153">
            <v>87.5</v>
          </cell>
          <cell r="H153">
            <v>322.06400000000002</v>
          </cell>
          <cell r="I153">
            <v>0</v>
          </cell>
          <cell r="J153">
            <v>429.93900000000002</v>
          </cell>
          <cell r="K153">
            <v>73.09</v>
          </cell>
          <cell r="L153">
            <v>0</v>
          </cell>
          <cell r="M153">
            <v>503.03</v>
          </cell>
        </row>
        <row r="154">
          <cell r="B154" t="str">
            <v>4-3,026.3</v>
          </cell>
          <cell r="C154" t="str">
            <v xml:space="preserve">Caja de Registro de H.S (50x50x60) cm y rejilla perforada en acero inoxidable de (30x30) cm, inc. sumidero telescopico para tela de impermeabilizacion, salida vertical, rejilla perforada y cesto de solidos. </v>
          </cell>
          <cell r="D154" t="str">
            <v>u</v>
          </cell>
          <cell r="E154">
            <v>0.2</v>
          </cell>
          <cell r="F154">
            <v>20.375</v>
          </cell>
          <cell r="G154">
            <v>87.5</v>
          </cell>
          <cell r="H154">
            <v>316.5</v>
          </cell>
          <cell r="I154">
            <v>0</v>
          </cell>
          <cell r="J154">
            <v>424.375</v>
          </cell>
          <cell r="K154">
            <v>72.14</v>
          </cell>
          <cell r="L154">
            <v>0</v>
          </cell>
          <cell r="M154">
            <v>496.52</v>
          </cell>
        </row>
        <row r="155">
          <cell r="B155" t="str">
            <v>4-3,000.4</v>
          </cell>
          <cell r="C155" t="str">
            <v xml:space="preserve"> Valvula de control BB 110mm con camaras de H.A,  (inc. Tapa metalica H.D. Excav., relleno, desalojo).</v>
          </cell>
          <cell r="D155" t="str">
            <v>u</v>
          </cell>
          <cell r="E155">
            <v>0.125</v>
          </cell>
          <cell r="F155">
            <v>32.6</v>
          </cell>
          <cell r="G155">
            <v>140</v>
          </cell>
          <cell r="H155">
            <v>2597.5</v>
          </cell>
          <cell r="I155">
            <v>0</v>
          </cell>
          <cell r="J155">
            <v>2770.1</v>
          </cell>
          <cell r="K155">
            <v>470.92</v>
          </cell>
          <cell r="L155">
            <v>0</v>
          </cell>
          <cell r="M155">
            <v>3241.02</v>
          </cell>
        </row>
        <row r="156">
          <cell r="B156" t="str">
            <v>4-3,000.5</v>
          </cell>
          <cell r="C156" t="str">
            <v xml:space="preserve"> Valvula de control BB 160mm con camaras de H.A,  (inc. Tapa metalica H.D. Excav., relleno, desalojo).</v>
          </cell>
          <cell r="D156" t="str">
            <v>u</v>
          </cell>
          <cell r="E156">
            <v>0.125</v>
          </cell>
          <cell r="F156">
            <v>32.6</v>
          </cell>
          <cell r="G156">
            <v>140</v>
          </cell>
          <cell r="H156">
            <v>3036.4</v>
          </cell>
          <cell r="I156">
            <v>0</v>
          </cell>
          <cell r="J156">
            <v>3209</v>
          </cell>
          <cell r="K156">
            <v>545.53</v>
          </cell>
          <cell r="L156">
            <v>0</v>
          </cell>
          <cell r="M156">
            <v>3754.53</v>
          </cell>
        </row>
        <row r="157">
          <cell r="B157" t="str">
            <v>4-2,016.01</v>
          </cell>
          <cell r="C157" t="str">
            <v>Valvula de Control Termofusión D=2-1/2"  (75mm) inc. Cajetin metalico</v>
          </cell>
          <cell r="D157" t="str">
            <v>u</v>
          </cell>
          <cell r="E157">
            <v>0.66700000000000004</v>
          </cell>
          <cell r="F157">
            <v>4.2930000000000001</v>
          </cell>
          <cell r="G157">
            <v>10.898999999999999</v>
          </cell>
          <cell r="H157">
            <v>150.69999999999999</v>
          </cell>
          <cell r="I157">
            <v>0</v>
          </cell>
          <cell r="J157">
            <v>165.892</v>
          </cell>
          <cell r="K157">
            <v>28.2</v>
          </cell>
          <cell r="L157">
            <v>0</v>
          </cell>
          <cell r="M157">
            <v>194.09</v>
          </cell>
        </row>
        <row r="158">
          <cell r="B158" t="str">
            <v>4-2,017.1</v>
          </cell>
          <cell r="C158" t="str">
            <v>Valvula de Control Termofusión D=2" (63mm) inc. Cajetin metalico</v>
          </cell>
          <cell r="D158" t="str">
            <v>u</v>
          </cell>
          <cell r="E158">
            <v>0.66700000000000004</v>
          </cell>
          <cell r="F158">
            <v>4.2930000000000001</v>
          </cell>
          <cell r="G158">
            <v>10.898999999999999</v>
          </cell>
          <cell r="H158">
            <v>134.19999999999999</v>
          </cell>
          <cell r="I158">
            <v>0</v>
          </cell>
          <cell r="J158">
            <v>149.392</v>
          </cell>
          <cell r="K158">
            <v>25.4</v>
          </cell>
          <cell r="L158">
            <v>0</v>
          </cell>
          <cell r="M158">
            <v>174.79</v>
          </cell>
        </row>
        <row r="159">
          <cell r="B159" t="str">
            <v>4-2,018.1</v>
          </cell>
          <cell r="C159" t="str">
            <v>Valvula de Control Termofusión D=1-1/2" (50mm) inc. Cajetin metalico</v>
          </cell>
          <cell r="D159" t="str">
            <v>u</v>
          </cell>
          <cell r="E159">
            <v>0.66700000000000004</v>
          </cell>
          <cell r="F159">
            <v>4.2930000000000001</v>
          </cell>
          <cell r="G159">
            <v>10.898999999999999</v>
          </cell>
          <cell r="H159">
            <v>117.7</v>
          </cell>
          <cell r="I159">
            <v>0</v>
          </cell>
          <cell r="J159">
            <v>132.892</v>
          </cell>
          <cell r="K159">
            <v>22.59</v>
          </cell>
          <cell r="L159">
            <v>0</v>
          </cell>
          <cell r="M159">
            <v>155.47999999999999</v>
          </cell>
        </row>
        <row r="160">
          <cell r="B160" t="str">
            <v>4-2,016.10</v>
          </cell>
          <cell r="C160" t="str">
            <v xml:space="preserve">Valvula de Control Termofusion D=3" </v>
          </cell>
          <cell r="D160" t="str">
            <v>u</v>
          </cell>
          <cell r="E160">
            <v>3.3330000000000002</v>
          </cell>
          <cell r="F160">
            <v>0.85899999999999999</v>
          </cell>
          <cell r="G160">
            <v>2.181</v>
          </cell>
          <cell r="H160">
            <v>121</v>
          </cell>
          <cell r="I160">
            <v>0</v>
          </cell>
          <cell r="J160">
            <v>124.04</v>
          </cell>
          <cell r="K160">
            <v>21.09</v>
          </cell>
          <cell r="L160">
            <v>0</v>
          </cell>
          <cell r="M160">
            <v>145.13</v>
          </cell>
        </row>
        <row r="161">
          <cell r="B161" t="str">
            <v>4-2,016.11</v>
          </cell>
          <cell r="C161" t="str">
            <v xml:space="preserve">Valvula de Control  D=4" </v>
          </cell>
          <cell r="D161" t="str">
            <v>u</v>
          </cell>
          <cell r="E161">
            <v>3.3330000000000002</v>
          </cell>
          <cell r="F161">
            <v>0.85899999999999999</v>
          </cell>
          <cell r="G161">
            <v>2.181</v>
          </cell>
          <cell r="H161">
            <v>429</v>
          </cell>
          <cell r="I161">
            <v>0</v>
          </cell>
          <cell r="J161">
            <v>432.04</v>
          </cell>
          <cell r="K161">
            <v>73.45</v>
          </cell>
          <cell r="L161">
            <v>0</v>
          </cell>
          <cell r="M161">
            <v>505.49</v>
          </cell>
        </row>
        <row r="162">
          <cell r="B162" t="str">
            <v>4-2,016.12</v>
          </cell>
          <cell r="C162" t="str">
            <v xml:space="preserve">Valvula de Control  D=6" </v>
          </cell>
          <cell r="D162" t="str">
            <v>u</v>
          </cell>
          <cell r="E162">
            <v>3.3330000000000002</v>
          </cell>
          <cell r="F162">
            <v>0.85899999999999999</v>
          </cell>
          <cell r="G162">
            <v>2.181</v>
          </cell>
          <cell r="H162">
            <v>682</v>
          </cell>
          <cell r="I162">
            <v>0</v>
          </cell>
          <cell r="J162">
            <v>685.04</v>
          </cell>
          <cell r="K162">
            <v>116.46</v>
          </cell>
          <cell r="L162">
            <v>0</v>
          </cell>
          <cell r="M162">
            <v>801.5</v>
          </cell>
        </row>
        <row r="163">
          <cell r="B163" t="str">
            <v>4-3,007.3</v>
          </cell>
          <cell r="C163" t="str">
            <v>Tub. Pvc de ventilacion D=4" (110mm) + acc.</v>
          </cell>
          <cell r="D163" t="str">
            <v>m</v>
          </cell>
          <cell r="E163">
            <v>2.5</v>
          </cell>
          <cell r="F163">
            <v>0.88200000000000001</v>
          </cell>
          <cell r="G163">
            <v>5.6360000000000001</v>
          </cell>
          <cell r="H163">
            <v>7.93</v>
          </cell>
          <cell r="I163">
            <v>0</v>
          </cell>
          <cell r="J163">
            <v>14.448</v>
          </cell>
          <cell r="K163">
            <v>2.46</v>
          </cell>
          <cell r="L163">
            <v>0</v>
          </cell>
          <cell r="M163">
            <v>16.91</v>
          </cell>
        </row>
        <row r="164">
          <cell r="B164" t="str">
            <v>4-3,008.3</v>
          </cell>
          <cell r="C164" t="str">
            <v>Tub. Pvc de ventilacion D=3" (75mm) + acc.</v>
          </cell>
          <cell r="D164" t="str">
            <v>m</v>
          </cell>
          <cell r="E164">
            <v>4</v>
          </cell>
          <cell r="F164">
            <v>0.55100000000000005</v>
          </cell>
          <cell r="G164">
            <v>3.524</v>
          </cell>
          <cell r="H164">
            <v>6.35</v>
          </cell>
          <cell r="I164">
            <v>0</v>
          </cell>
          <cell r="J164">
            <v>10.425000000000001</v>
          </cell>
          <cell r="K164">
            <v>1.77</v>
          </cell>
          <cell r="L164">
            <v>0</v>
          </cell>
          <cell r="M164">
            <v>12.2</v>
          </cell>
        </row>
        <row r="165">
          <cell r="B165" t="str">
            <v>4-3,009.3</v>
          </cell>
          <cell r="C165" t="str">
            <v>Tub. Pvc de ventilacion D=2" (50mm) + acc.</v>
          </cell>
          <cell r="D165" t="str">
            <v>m</v>
          </cell>
          <cell r="E165">
            <v>4</v>
          </cell>
          <cell r="F165">
            <v>0.55100000000000005</v>
          </cell>
          <cell r="G165">
            <v>3.524</v>
          </cell>
          <cell r="H165">
            <v>4.05</v>
          </cell>
          <cell r="I165">
            <v>0</v>
          </cell>
          <cell r="J165">
            <v>8.125</v>
          </cell>
          <cell r="K165">
            <v>1.38</v>
          </cell>
          <cell r="L165">
            <v>0</v>
          </cell>
          <cell r="M165">
            <v>9.51</v>
          </cell>
        </row>
        <row r="166">
          <cell r="B166" t="str">
            <v>4-3,013.3</v>
          </cell>
          <cell r="C166" t="str">
            <v xml:space="preserve">Puntos Pvc  de ventilacion D=2" (50mm) </v>
          </cell>
          <cell r="D166" t="str">
            <v>u</v>
          </cell>
          <cell r="E166">
            <v>0.625</v>
          </cell>
          <cell r="F166">
            <v>1.4</v>
          </cell>
          <cell r="G166">
            <v>28</v>
          </cell>
          <cell r="H166">
            <v>5.33</v>
          </cell>
          <cell r="I166">
            <v>0</v>
          </cell>
          <cell r="J166">
            <v>34.729999999999997</v>
          </cell>
          <cell r="K166">
            <v>5.9</v>
          </cell>
          <cell r="L166">
            <v>0</v>
          </cell>
          <cell r="M166">
            <v>40.630000000000003</v>
          </cell>
        </row>
        <row r="167">
          <cell r="B167" t="str">
            <v>4-3,023</v>
          </cell>
          <cell r="C167" t="str">
            <v>Rejilla aluminio CC-110x75mm</v>
          </cell>
          <cell r="D167" t="str">
            <v>u</v>
          </cell>
          <cell r="E167">
            <v>1.5</v>
          </cell>
          <cell r="F167">
            <v>0.35599999999999998</v>
          </cell>
          <cell r="G167">
            <v>7.12</v>
          </cell>
          <cell r="H167">
            <v>27.5</v>
          </cell>
          <cell r="I167">
            <v>0</v>
          </cell>
          <cell r="J167">
            <v>34.975999999999999</v>
          </cell>
          <cell r="K167">
            <v>5.95</v>
          </cell>
          <cell r="L167">
            <v>0</v>
          </cell>
          <cell r="M167">
            <v>40.93</v>
          </cell>
        </row>
        <row r="168">
          <cell r="B168" t="str">
            <v>4-3,012.3</v>
          </cell>
          <cell r="C168" t="str">
            <v xml:space="preserve">Puntos - Sumidero de piso D=3" (75mm) </v>
          </cell>
          <cell r="D168" t="str">
            <v>u</v>
          </cell>
          <cell r="E168">
            <v>0.625</v>
          </cell>
          <cell r="F168">
            <v>1.4</v>
          </cell>
          <cell r="G168">
            <v>28</v>
          </cell>
          <cell r="H168">
            <v>7.17</v>
          </cell>
          <cell r="I168">
            <v>0</v>
          </cell>
          <cell r="J168">
            <v>36.57</v>
          </cell>
          <cell r="K168">
            <v>6.22</v>
          </cell>
          <cell r="L168">
            <v>0</v>
          </cell>
          <cell r="M168">
            <v>42.79</v>
          </cell>
        </row>
        <row r="169">
          <cell r="B169" t="str">
            <v>4-5,041.1</v>
          </cell>
          <cell r="C169" t="str">
            <v>Suministro e instalacion de un tanque de Vidrio Fusionado al Acero de 2,500 m3 para almacenamiento de Agua Potable modelo de dimensiones 22,17x7,27 m.</v>
          </cell>
          <cell r="D169" t="str">
            <v>glb</v>
          </cell>
          <cell r="E169">
            <v>1E-3</v>
          </cell>
          <cell r="F169">
            <v>5899</v>
          </cell>
          <cell r="G169">
            <v>117980</v>
          </cell>
          <cell r="H169">
            <v>576829</v>
          </cell>
          <cell r="I169">
            <v>0</v>
          </cell>
          <cell r="J169">
            <v>700708</v>
          </cell>
          <cell r="K169">
            <v>119120.36</v>
          </cell>
          <cell r="L169">
            <v>0</v>
          </cell>
          <cell r="M169">
            <v>819828.36</v>
          </cell>
        </row>
        <row r="170">
          <cell r="B170" t="str">
            <v>4-5,041.2</v>
          </cell>
          <cell r="C170" t="str">
            <v xml:space="preserve">Provisión, inst. y puesta en funcionamiento de Equipo de Bombeo para Riego UL/FM (Incluye 2 Bombas de Q:40gpm@40psi-5HP-220/3F, Panel de automatización para bomba. </v>
          </cell>
          <cell r="D170" t="str">
            <v>glb</v>
          </cell>
          <cell r="E170">
            <v>0.02</v>
          </cell>
          <cell r="F170">
            <v>26.7</v>
          </cell>
          <cell r="G170">
            <v>534</v>
          </cell>
          <cell r="H170">
            <v>8000</v>
          </cell>
          <cell r="I170">
            <v>0</v>
          </cell>
          <cell r="J170">
            <v>8560.7000000000007</v>
          </cell>
          <cell r="K170">
            <v>1455.32</v>
          </cell>
          <cell r="L170">
            <v>0</v>
          </cell>
          <cell r="M170">
            <v>10016.02</v>
          </cell>
        </row>
        <row r="171">
          <cell r="B171" t="str">
            <v>4-2,030.1</v>
          </cell>
          <cell r="C171" t="str">
            <v>Tub. Pvc presión E/C D=3" (75mm) 0.8Mpa (116psi) + acc</v>
          </cell>
          <cell r="D171" t="str">
            <v>ml</v>
          </cell>
          <cell r="E171">
            <v>2.5</v>
          </cell>
          <cell r="F171">
            <v>1.3140000000000001</v>
          </cell>
          <cell r="G171">
            <v>4.2720000000000002</v>
          </cell>
          <cell r="H171">
            <v>5.0199999999999996</v>
          </cell>
          <cell r="I171">
            <v>0</v>
          </cell>
          <cell r="J171">
            <v>10.606</v>
          </cell>
          <cell r="K171">
            <v>1.8</v>
          </cell>
          <cell r="L171">
            <v>0</v>
          </cell>
          <cell r="M171">
            <v>12.41</v>
          </cell>
        </row>
        <row r="172">
          <cell r="B172" t="str">
            <v>4-2,031.2</v>
          </cell>
          <cell r="C172" t="str">
            <v>Tub. Pvc presión E/C D=1-1/4" (40mm) 1Mpa (145psi) + acc</v>
          </cell>
          <cell r="D172" t="str">
            <v>ml</v>
          </cell>
          <cell r="E172">
            <v>2.8570000000000002</v>
          </cell>
          <cell r="F172">
            <v>1.1499999999999999</v>
          </cell>
          <cell r="G172">
            <v>3.7389999999999999</v>
          </cell>
          <cell r="H172">
            <v>2.42</v>
          </cell>
          <cell r="I172">
            <v>0</v>
          </cell>
          <cell r="J172">
            <v>7.3090000000000002</v>
          </cell>
          <cell r="K172">
            <v>1.24</v>
          </cell>
          <cell r="L172">
            <v>0</v>
          </cell>
          <cell r="M172">
            <v>8.5500000000000007</v>
          </cell>
        </row>
        <row r="173">
          <cell r="B173" t="str">
            <v>4-2,069.1</v>
          </cell>
          <cell r="C173" t="str">
            <v>Provisión, inst. y puesta en funcionamiento de Equipo de bombeo de presión constante y veloc. Variable compuesto de 1 bomba de 4.0 lit/seg y 3 bombas de 8.0 lit./seg;  presión: m.c.a; Pot.=(1 de 5HP) y (3 de  10 HPc/u),  panel de control, pre-emsamblado con tubería de cobre tipo L.</v>
          </cell>
          <cell r="D173" t="str">
            <v>glb</v>
          </cell>
          <cell r="E173">
            <v>6.3E-2</v>
          </cell>
          <cell r="F173">
            <v>19.332999999999998</v>
          </cell>
          <cell r="G173">
            <v>386.66699999999997</v>
          </cell>
          <cell r="H173">
            <v>33000</v>
          </cell>
          <cell r="I173">
            <v>0</v>
          </cell>
          <cell r="J173">
            <v>33406</v>
          </cell>
          <cell r="K173">
            <v>5679.02</v>
          </cell>
          <cell r="L173">
            <v>0</v>
          </cell>
          <cell r="M173">
            <v>39085.019999999997</v>
          </cell>
        </row>
        <row r="174">
          <cell r="B174" t="str">
            <v>4-2,069.2</v>
          </cell>
          <cell r="C174" t="str">
            <v>Provisión, inst. y puesta en funcionamiento de Equipo del calentador de flujo instantaneo electrico</v>
          </cell>
          <cell r="D174" t="str">
            <v>glb</v>
          </cell>
          <cell r="E174">
            <v>0.25</v>
          </cell>
          <cell r="F174">
            <v>2.1360000000000001</v>
          </cell>
          <cell r="G174">
            <v>42.72</v>
          </cell>
          <cell r="H174">
            <v>495</v>
          </cell>
          <cell r="I174">
            <v>0</v>
          </cell>
          <cell r="J174">
            <v>539.85599999999999</v>
          </cell>
          <cell r="K174">
            <v>91.78</v>
          </cell>
          <cell r="L174">
            <v>0</v>
          </cell>
          <cell r="M174">
            <v>631.64</v>
          </cell>
        </row>
        <row r="175">
          <cell r="B175" t="str">
            <v>4-2,069.3</v>
          </cell>
          <cell r="C175" t="str">
            <v>Provisión, inst. y puesta en funcionamiento de las bombas de recirculacion de agua caliente de 1/2 HP para 40-65 grados centigrados. Incluye purgador de aires</v>
          </cell>
          <cell r="D175" t="str">
            <v>glb</v>
          </cell>
          <cell r="E175">
            <v>0.25</v>
          </cell>
          <cell r="F175">
            <v>2.1360000000000001</v>
          </cell>
          <cell r="G175">
            <v>42.72</v>
          </cell>
          <cell r="H175">
            <v>496.1</v>
          </cell>
          <cell r="I175">
            <v>0</v>
          </cell>
          <cell r="J175">
            <v>540.95600000000002</v>
          </cell>
          <cell r="K175">
            <v>91.96</v>
          </cell>
          <cell r="L175">
            <v>0</v>
          </cell>
          <cell r="M175">
            <v>632.91999999999996</v>
          </cell>
        </row>
        <row r="176">
          <cell r="B176" t="str">
            <v>4-3,021.11</v>
          </cell>
          <cell r="C176" t="str">
            <v>Rejilla PVC de ventilacion 110mm</v>
          </cell>
          <cell r="D176" t="str">
            <v>u</v>
          </cell>
          <cell r="E176">
            <v>2.5</v>
          </cell>
          <cell r="F176">
            <v>0.214</v>
          </cell>
          <cell r="G176">
            <v>4.2720000000000002</v>
          </cell>
          <cell r="H176">
            <v>9.35</v>
          </cell>
          <cell r="I176">
            <v>0</v>
          </cell>
          <cell r="J176">
            <v>13.836</v>
          </cell>
          <cell r="K176">
            <v>2.35</v>
          </cell>
          <cell r="L176">
            <v>0</v>
          </cell>
          <cell r="M176">
            <v>16.190000000000001</v>
          </cell>
        </row>
        <row r="177">
          <cell r="B177" t="str">
            <v>4-3,021.21</v>
          </cell>
          <cell r="C177" t="str">
            <v>Rejilla PVC de ventilacion 75mm</v>
          </cell>
          <cell r="D177" t="str">
            <v>u</v>
          </cell>
          <cell r="E177">
            <v>2.5</v>
          </cell>
          <cell r="F177">
            <v>0.214</v>
          </cell>
          <cell r="G177">
            <v>4.2720000000000002</v>
          </cell>
          <cell r="H177">
            <v>6.6</v>
          </cell>
          <cell r="I177">
            <v>0</v>
          </cell>
          <cell r="J177">
            <v>11.086</v>
          </cell>
          <cell r="K177">
            <v>1.88</v>
          </cell>
          <cell r="L177">
            <v>0</v>
          </cell>
          <cell r="M177">
            <v>12.97</v>
          </cell>
        </row>
        <row r="178">
          <cell r="B178" t="str">
            <v>4-3,021.31</v>
          </cell>
          <cell r="C178" t="str">
            <v>Tapon de registro - PVC de 110mm</v>
          </cell>
          <cell r="D178" t="str">
            <v>u</v>
          </cell>
          <cell r="E178">
            <v>2.5</v>
          </cell>
          <cell r="F178">
            <v>0.214</v>
          </cell>
          <cell r="G178">
            <v>4.2720000000000002</v>
          </cell>
          <cell r="H178">
            <v>11</v>
          </cell>
          <cell r="I178">
            <v>0</v>
          </cell>
          <cell r="J178">
            <v>15.486000000000001</v>
          </cell>
          <cell r="K178">
            <v>2.63</v>
          </cell>
          <cell r="L178">
            <v>0</v>
          </cell>
          <cell r="M178">
            <v>18.12</v>
          </cell>
        </row>
        <row r="179">
          <cell r="B179" t="str">
            <v>4-2,013.1</v>
          </cell>
          <cell r="C179" t="str">
            <v>Puntos D=2" (50mm)</v>
          </cell>
          <cell r="D179" t="str">
            <v>u</v>
          </cell>
          <cell r="E179">
            <v>1</v>
          </cell>
          <cell r="F179">
            <v>3.375</v>
          </cell>
          <cell r="G179">
            <v>17.5</v>
          </cell>
          <cell r="H179">
            <v>30.251999999999999</v>
          </cell>
          <cell r="I179">
            <v>0</v>
          </cell>
          <cell r="J179">
            <v>51.127000000000002</v>
          </cell>
          <cell r="K179">
            <v>8.69</v>
          </cell>
          <cell r="L179">
            <v>0</v>
          </cell>
          <cell r="M179">
            <v>59.82</v>
          </cell>
        </row>
        <row r="255">
          <cell r="B255" t="str">
            <v>4-3,026.3</v>
          </cell>
          <cell r="C255" t="str">
            <v xml:space="preserve">Caja de Registro de H.S (50x50x60) cm y rejilla perforada en acero inoxidable de (30x30) cm, inc. sumidero telescopico para tela de impermeabilizacion, salida vertical, rejilla perforada y cesto de solidos. </v>
          </cell>
          <cell r="D255" t="str">
            <v>u</v>
          </cell>
          <cell r="E255">
            <v>0.2</v>
          </cell>
          <cell r="F255">
            <v>20.375</v>
          </cell>
          <cell r="G255">
            <v>87.5</v>
          </cell>
          <cell r="H255">
            <v>316.5</v>
          </cell>
          <cell r="I255">
            <v>0</v>
          </cell>
          <cell r="J255">
            <v>424.375</v>
          </cell>
          <cell r="K255">
            <v>72.14</v>
          </cell>
          <cell r="L255">
            <v>0</v>
          </cell>
          <cell r="M255">
            <v>496.52</v>
          </cell>
        </row>
        <row r="256">
          <cell r="B256" t="str">
            <v>4-3,000.4</v>
          </cell>
          <cell r="C256" t="str">
            <v xml:space="preserve"> Valvula de control BB 110mm con camaras de H.A,  (inc. Tapa metalica H.D. Excav., relleno, desalojo).</v>
          </cell>
          <cell r="D256" t="str">
            <v>u</v>
          </cell>
          <cell r="E256">
            <v>0.125</v>
          </cell>
          <cell r="F256">
            <v>32.6</v>
          </cell>
          <cell r="G256">
            <v>140</v>
          </cell>
          <cell r="H256">
            <v>2597.5</v>
          </cell>
          <cell r="I256">
            <v>0</v>
          </cell>
          <cell r="J256">
            <v>2770.1</v>
          </cell>
          <cell r="K256">
            <v>470.92</v>
          </cell>
          <cell r="L256">
            <v>0</v>
          </cell>
          <cell r="M256">
            <v>3241.02</v>
          </cell>
        </row>
        <row r="257">
          <cell r="B257" t="str">
            <v>4-3,000.5</v>
          </cell>
          <cell r="C257" t="str">
            <v xml:space="preserve"> Valvula de control BB 160mm con camaras de H.A,  (inc. Tapa metalica H.D. Excav., relleno, desalojo).</v>
          </cell>
          <cell r="D257" t="str">
            <v>u</v>
          </cell>
          <cell r="E257">
            <v>0.125</v>
          </cell>
          <cell r="F257">
            <v>32.6</v>
          </cell>
          <cell r="G257">
            <v>140</v>
          </cell>
          <cell r="H257">
            <v>3036.4</v>
          </cell>
          <cell r="I257">
            <v>0</v>
          </cell>
          <cell r="J257">
            <v>3209</v>
          </cell>
          <cell r="K257">
            <v>545.53</v>
          </cell>
          <cell r="L257">
            <v>0</v>
          </cell>
          <cell r="M257">
            <v>3754.53</v>
          </cell>
        </row>
      </sheetData>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sheetData sheetId="39" refreshError="1"/>
      <sheetData sheetId="40"/>
      <sheetData sheetId="41" refreshError="1"/>
      <sheetData sheetId="42" refreshError="1"/>
      <sheetData sheetId="43"/>
      <sheetData sheetId="44">
        <row r="22">
          <cell r="C22">
            <v>0.1211</v>
          </cell>
        </row>
      </sheetData>
      <sheetData sheetId="45"/>
      <sheetData sheetId="46"/>
      <sheetData sheetId="47"/>
      <sheetData sheetId="48"/>
      <sheetData sheetId="49">
        <row r="35">
          <cell r="D35">
            <v>8.9259499999999992E-2</v>
          </cell>
        </row>
      </sheetData>
      <sheetData sheetId="50"/>
      <sheetData sheetId="51"/>
      <sheetData sheetId="52" refreshError="1"/>
      <sheetData sheetId="53" refreshError="1"/>
      <sheetData sheetId="54">
        <row r="19">
          <cell r="C19">
            <v>-12061896.220909093</v>
          </cell>
        </row>
      </sheetData>
      <sheetData sheetId="55" refreshError="1"/>
      <sheetData sheetId="56">
        <row r="4">
          <cell r="D4">
            <v>3756492.2178086229</v>
          </cell>
        </row>
      </sheetData>
      <sheetData sheetId="57">
        <row r="27">
          <cell r="F27">
            <v>0.1295734167372582</v>
          </cell>
        </row>
      </sheetData>
      <sheetData sheetId="58" refreshError="1"/>
      <sheetData sheetId="59">
        <row r="69">
          <cell r="D69" t="str">
            <v>Impuesto al Valor Agregado (IVA) 12%</v>
          </cell>
        </row>
      </sheetData>
      <sheetData sheetId="60">
        <row r="14">
          <cell r="G14">
            <v>138960.31970587117</v>
          </cell>
        </row>
      </sheetData>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drawing" Target="../drawings/drawing5.xm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B2:K27"/>
  <sheetViews>
    <sheetView showGridLines="0" tabSelected="1" workbookViewId="0">
      <selection activeCell="B28" sqref="B28"/>
    </sheetView>
  </sheetViews>
  <sheetFormatPr baseColWidth="10" defaultColWidth="11.42578125" defaultRowHeight="15" x14ac:dyDescent="0.25"/>
  <cols>
    <col min="2" max="2" width="19" customWidth="1"/>
    <col min="6" max="6" width="12.85546875" customWidth="1"/>
  </cols>
  <sheetData>
    <row r="2" spans="2:11" x14ac:dyDescent="0.25">
      <c r="I2" s="141" t="s">
        <v>84</v>
      </c>
    </row>
    <row r="3" spans="2:11" x14ac:dyDescent="0.25">
      <c r="I3" s="141"/>
    </row>
    <row r="4" spans="2:11" x14ac:dyDescent="0.25">
      <c r="B4" s="1"/>
      <c r="F4" s="1"/>
      <c r="I4" s="141"/>
    </row>
    <row r="5" spans="2:11" x14ac:dyDescent="0.25">
      <c r="B5" s="1"/>
      <c r="F5" s="1"/>
      <c r="I5" s="141"/>
    </row>
    <row r="6" spans="2:11" x14ac:dyDescent="0.25">
      <c r="B6" s="142" t="s">
        <v>85</v>
      </c>
      <c r="C6" s="142"/>
      <c r="F6" s="143" t="s">
        <v>86</v>
      </c>
      <c r="G6" s="143"/>
      <c r="I6" s="141"/>
    </row>
    <row r="7" spans="2:11" x14ac:dyDescent="0.25">
      <c r="B7" s="2" t="s">
        <v>21</v>
      </c>
      <c r="C7" s="2">
        <v>5</v>
      </c>
      <c r="F7" s="2" t="s">
        <v>26</v>
      </c>
      <c r="G7" s="2">
        <v>5</v>
      </c>
      <c r="I7" s="141"/>
    </row>
    <row r="8" spans="2:11" x14ac:dyDescent="0.25">
      <c r="B8" s="2" t="s">
        <v>22</v>
      </c>
      <c r="C8" s="2">
        <v>4</v>
      </c>
      <c r="F8" s="2" t="s">
        <v>27</v>
      </c>
      <c r="G8" s="2">
        <v>4</v>
      </c>
      <c r="I8" s="141"/>
    </row>
    <row r="9" spans="2:11" x14ac:dyDescent="0.25">
      <c r="B9" s="2" t="s">
        <v>23</v>
      </c>
      <c r="C9" s="2">
        <v>3</v>
      </c>
      <c r="F9" s="2" t="s">
        <v>28</v>
      </c>
      <c r="G9" s="2">
        <v>3</v>
      </c>
      <c r="I9" s="141"/>
    </row>
    <row r="10" spans="2:11" x14ac:dyDescent="0.25">
      <c r="B10" s="2" t="s">
        <v>24</v>
      </c>
      <c r="C10" s="2">
        <v>2</v>
      </c>
      <c r="F10" s="2" t="s">
        <v>29</v>
      </c>
      <c r="G10" s="2">
        <v>2</v>
      </c>
      <c r="I10" s="141"/>
    </row>
    <row r="11" spans="2:11" x14ac:dyDescent="0.25">
      <c r="B11" s="2" t="s">
        <v>25</v>
      </c>
      <c r="C11" s="2">
        <v>1</v>
      </c>
      <c r="F11" s="2" t="s">
        <v>30</v>
      </c>
      <c r="G11" s="2">
        <v>1</v>
      </c>
      <c r="I11" s="141"/>
    </row>
    <row r="12" spans="2:11" x14ac:dyDescent="0.25">
      <c r="I12" s="141"/>
    </row>
    <row r="13" spans="2:11" x14ac:dyDescent="0.25">
      <c r="I13" s="141"/>
    </row>
    <row r="14" spans="2:11" ht="15.75" thickBot="1" x14ac:dyDescent="0.3">
      <c r="I14" s="141"/>
    </row>
    <row r="15" spans="2:11" ht="19.5" thickBot="1" x14ac:dyDescent="0.35">
      <c r="B15" s="139" t="s">
        <v>5</v>
      </c>
      <c r="C15" s="136" t="s">
        <v>4</v>
      </c>
      <c r="D15" s="137"/>
      <c r="E15" s="137"/>
      <c r="F15" s="137"/>
      <c r="G15" s="138"/>
      <c r="I15" s="141"/>
    </row>
    <row r="16" spans="2:11" ht="33.75" customHeight="1" thickBot="1" x14ac:dyDescent="0.3">
      <c r="B16" s="140"/>
      <c r="C16" s="48" t="s">
        <v>30</v>
      </c>
      <c r="D16" s="49" t="s">
        <v>29</v>
      </c>
      <c r="E16" s="49" t="s">
        <v>28</v>
      </c>
      <c r="F16" s="49" t="s">
        <v>27</v>
      </c>
      <c r="G16" s="50" t="s">
        <v>31</v>
      </c>
      <c r="I16" s="141"/>
      <c r="K16" s="47"/>
    </row>
    <row r="17" spans="2:9" x14ac:dyDescent="0.25">
      <c r="B17" s="51" t="s">
        <v>21</v>
      </c>
      <c r="C17" s="52">
        <v>5</v>
      </c>
      <c r="D17" s="52">
        <f>C17*2</f>
        <v>10</v>
      </c>
      <c r="E17" s="52">
        <f>C17*3</f>
        <v>15</v>
      </c>
      <c r="F17" s="52">
        <f>C17*4</f>
        <v>20</v>
      </c>
      <c r="G17" s="53">
        <f>C17*5</f>
        <v>25</v>
      </c>
      <c r="I17" s="141"/>
    </row>
    <row r="18" spans="2:9" x14ac:dyDescent="0.25">
      <c r="B18" s="54" t="s">
        <v>22</v>
      </c>
      <c r="C18" s="2">
        <v>4</v>
      </c>
      <c r="D18" s="2">
        <f t="shared" ref="D18:D21" si="0">C18*2</f>
        <v>8</v>
      </c>
      <c r="E18" s="2">
        <f t="shared" ref="E18:E21" si="1">C18*3</f>
        <v>12</v>
      </c>
      <c r="F18" s="2">
        <f t="shared" ref="F18:F21" si="2">C18*4</f>
        <v>16</v>
      </c>
      <c r="G18" s="55">
        <f t="shared" ref="G18:G21" si="3">C18*5</f>
        <v>20</v>
      </c>
      <c r="I18" s="141"/>
    </row>
    <row r="19" spans="2:9" x14ac:dyDescent="0.25">
      <c r="B19" s="54" t="s">
        <v>23</v>
      </c>
      <c r="C19" s="2">
        <v>3</v>
      </c>
      <c r="D19" s="2">
        <f t="shared" si="0"/>
        <v>6</v>
      </c>
      <c r="E19" s="2">
        <f t="shared" si="1"/>
        <v>9</v>
      </c>
      <c r="F19" s="2">
        <f t="shared" si="2"/>
        <v>12</v>
      </c>
      <c r="G19" s="55">
        <f t="shared" si="3"/>
        <v>15</v>
      </c>
      <c r="I19" s="141"/>
    </row>
    <row r="20" spans="2:9" x14ac:dyDescent="0.25">
      <c r="B20" s="54" t="s">
        <v>24</v>
      </c>
      <c r="C20" s="2">
        <v>2</v>
      </c>
      <c r="D20" s="2">
        <f t="shared" si="0"/>
        <v>4</v>
      </c>
      <c r="E20" s="2">
        <f t="shared" si="1"/>
        <v>6</v>
      </c>
      <c r="F20" s="2">
        <f t="shared" si="2"/>
        <v>8</v>
      </c>
      <c r="G20" s="55">
        <f t="shared" si="3"/>
        <v>10</v>
      </c>
      <c r="I20" s="141"/>
    </row>
    <row r="21" spans="2:9" ht="15.75" thickBot="1" x14ac:dyDescent="0.3">
      <c r="B21" s="56" t="s">
        <v>25</v>
      </c>
      <c r="C21" s="57">
        <v>1</v>
      </c>
      <c r="D21" s="57">
        <f t="shared" si="0"/>
        <v>2</v>
      </c>
      <c r="E21" s="57">
        <f t="shared" si="1"/>
        <v>3</v>
      </c>
      <c r="F21" s="57">
        <f t="shared" si="2"/>
        <v>4</v>
      </c>
      <c r="G21" s="58">
        <f t="shared" si="3"/>
        <v>5</v>
      </c>
      <c r="I21" s="141"/>
    </row>
    <row r="22" spans="2:9" x14ac:dyDescent="0.25">
      <c r="I22" s="141"/>
    </row>
    <row r="23" spans="2:9" x14ac:dyDescent="0.25">
      <c r="I23" s="141"/>
    </row>
    <row r="24" spans="2:9" x14ac:dyDescent="0.25">
      <c r="I24" s="141"/>
    </row>
    <row r="25" spans="2:9" x14ac:dyDescent="0.25">
      <c r="I25" s="141"/>
    </row>
    <row r="26" spans="2:9" x14ac:dyDescent="0.25">
      <c r="I26" s="141"/>
    </row>
    <row r="27" spans="2:9" x14ac:dyDescent="0.25">
      <c r="I27" s="141"/>
    </row>
  </sheetData>
  <mergeCells count="5">
    <mergeCell ref="C15:G15"/>
    <mergeCell ref="B15:B16"/>
    <mergeCell ref="I2:I27"/>
    <mergeCell ref="B6:C6"/>
    <mergeCell ref="F6:G6"/>
  </mergeCells>
  <conditionalFormatting sqref="C17:G21">
    <cfRule type="colorScale" priority="1">
      <colorScale>
        <cfvo type="min"/>
        <cfvo type="percentile" val="50"/>
        <cfvo type="max"/>
        <color rgb="FF92D050"/>
        <color rgb="FFFFEB84"/>
        <color rgb="FFFF0000"/>
      </colorScale>
    </cfRule>
  </conditionalFormatting>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Y37"/>
  <sheetViews>
    <sheetView topLeftCell="N8" workbookViewId="0">
      <selection activeCell="AA16" sqref="AA16"/>
    </sheetView>
  </sheetViews>
  <sheetFormatPr baseColWidth="10" defaultColWidth="9.140625" defaultRowHeight="15" x14ac:dyDescent="0.25"/>
  <cols>
    <col min="2" max="2" width="34.5703125" customWidth="1"/>
    <col min="3" max="3" width="13.28515625" bestFit="1" customWidth="1"/>
    <col min="4" max="14" width="12.5703125" bestFit="1" customWidth="1"/>
    <col min="15" max="16" width="13.7109375" bestFit="1" customWidth="1"/>
    <col min="17" max="17" width="14.28515625" customWidth="1"/>
    <col min="18" max="25" width="13.5703125" bestFit="1" customWidth="1"/>
  </cols>
  <sheetData>
    <row r="3" spans="2:25" ht="15.75" x14ac:dyDescent="0.25">
      <c r="B3" s="154" t="s">
        <v>62</v>
      </c>
      <c r="C3" s="154"/>
      <c r="D3" s="154"/>
      <c r="E3" s="154"/>
      <c r="F3" s="154"/>
      <c r="G3" s="154"/>
      <c r="H3" s="154"/>
      <c r="I3" s="154"/>
      <c r="J3" s="154"/>
      <c r="K3" s="154"/>
      <c r="L3" s="154"/>
      <c r="M3" s="154"/>
      <c r="N3" s="154"/>
      <c r="O3" s="154"/>
      <c r="P3" s="154"/>
      <c r="Q3" s="154"/>
    </row>
    <row r="6" spans="2:25" x14ac:dyDescent="0.25">
      <c r="B6" s="24" t="s">
        <v>61</v>
      </c>
      <c r="C6" s="23">
        <v>2020</v>
      </c>
      <c r="D6" s="25">
        <v>2021</v>
      </c>
      <c r="E6" s="25">
        <v>2022</v>
      </c>
      <c r="F6" s="25">
        <v>2023</v>
      </c>
      <c r="G6" s="25">
        <v>2024</v>
      </c>
      <c r="H6" s="25">
        <v>2025</v>
      </c>
      <c r="I6" s="25">
        <v>2026</v>
      </c>
      <c r="J6" s="25">
        <v>2027</v>
      </c>
      <c r="K6" s="25">
        <v>2028</v>
      </c>
      <c r="L6" s="25">
        <v>2029</v>
      </c>
      <c r="M6" s="25">
        <v>2030</v>
      </c>
      <c r="N6" s="25">
        <v>2031</v>
      </c>
      <c r="O6" s="25">
        <v>2032</v>
      </c>
      <c r="P6" s="25">
        <v>2033</v>
      </c>
      <c r="Q6" s="25">
        <v>2034</v>
      </c>
      <c r="R6" s="25">
        <v>2035</v>
      </c>
      <c r="S6" s="25">
        <v>2036</v>
      </c>
      <c r="T6" s="25">
        <v>2037</v>
      </c>
      <c r="U6" s="25">
        <v>2038</v>
      </c>
      <c r="V6" s="25">
        <v>2039</v>
      </c>
      <c r="W6" s="25">
        <v>2040</v>
      </c>
      <c r="X6" s="23">
        <v>2041</v>
      </c>
      <c r="Y6" s="23">
        <v>2042</v>
      </c>
    </row>
    <row r="7" spans="2:25" x14ac:dyDescent="0.25">
      <c r="B7" s="24"/>
      <c r="C7" s="23"/>
      <c r="D7" s="23"/>
      <c r="E7" s="23"/>
      <c r="F7" s="23"/>
      <c r="G7" s="23"/>
      <c r="H7" s="23"/>
      <c r="I7" s="23"/>
      <c r="J7" s="23"/>
      <c r="K7" s="23"/>
      <c r="L7" s="23"/>
      <c r="M7" s="23"/>
      <c r="N7" s="23"/>
      <c r="O7" s="23"/>
      <c r="P7" s="23"/>
      <c r="Q7" s="23"/>
    </row>
    <row r="8" spans="2:25" x14ac:dyDescent="0.25">
      <c r="B8" s="20" t="s">
        <v>60</v>
      </c>
      <c r="C8" s="22"/>
      <c r="D8" s="22">
        <v>4407087.711744816</v>
      </c>
      <c r="E8" s="22">
        <v>4637690.1759846853</v>
      </c>
      <c r="F8" s="22">
        <v>4877713.7749971421</v>
      </c>
      <c r="G8" s="22">
        <v>5127523.7317255419</v>
      </c>
      <c r="H8" s="22">
        <v>5895544.7421641499</v>
      </c>
      <c r="I8" s="22">
        <v>6189819.2624537069</v>
      </c>
      <c r="J8" s="22">
        <v>6495914.8835118506</v>
      </c>
      <c r="K8" s="22">
        <v>6664080.5906190323</v>
      </c>
      <c r="L8" s="22">
        <v>7674636.365685042</v>
      </c>
      <c r="M8" s="22">
        <v>7872483.3605160797</v>
      </c>
      <c r="N8" s="22">
        <v>8254503.9735977156</v>
      </c>
      <c r="O8" s="22">
        <v>8468186.9086860139</v>
      </c>
      <c r="P8" s="22">
        <v>9716324.2539160587</v>
      </c>
      <c r="Q8" s="22">
        <v>9966733.9546988346</v>
      </c>
      <c r="R8" s="22">
        <v>10440408.0798469</v>
      </c>
      <c r="S8" s="22">
        <v>10710572.772775529</v>
      </c>
      <c r="T8" s="22">
        <v>11805456.553651903</v>
      </c>
      <c r="U8" s="22">
        <v>12110146.588515235</v>
      </c>
      <c r="V8" s="22">
        <v>12423215.685500829</v>
      </c>
      <c r="W8" s="22">
        <v>12744914.75347276</v>
      </c>
      <c r="X8" s="22">
        <v>13075502.985197544</v>
      </c>
      <c r="Y8" s="22">
        <v>13415248.157609215</v>
      </c>
    </row>
    <row r="9" spans="2:25" x14ac:dyDescent="0.25">
      <c r="B9" s="18"/>
      <c r="C9" s="2"/>
      <c r="D9" s="21"/>
      <c r="E9" s="21"/>
      <c r="F9" s="21"/>
      <c r="G9" s="21"/>
      <c r="H9" s="21"/>
      <c r="I9" s="21"/>
      <c r="J9" s="21"/>
      <c r="K9" s="21"/>
      <c r="L9" s="21"/>
      <c r="M9" s="21"/>
      <c r="N9" s="21"/>
      <c r="O9" s="21"/>
      <c r="P9" s="21"/>
      <c r="Q9" s="21"/>
      <c r="R9" s="21"/>
      <c r="S9" s="21"/>
      <c r="T9" s="21"/>
      <c r="U9" s="21"/>
      <c r="V9" s="21"/>
      <c r="W9" s="21"/>
      <c r="X9" s="21"/>
      <c r="Y9" s="21"/>
    </row>
    <row r="10" spans="2:25" x14ac:dyDescent="0.25">
      <c r="B10" s="20" t="s">
        <v>59</v>
      </c>
      <c r="C10" s="2"/>
      <c r="D10" s="21"/>
      <c r="E10" s="21"/>
      <c r="F10" s="21"/>
      <c r="G10" s="21"/>
      <c r="H10" s="21"/>
      <c r="I10" s="21"/>
      <c r="J10" s="21"/>
      <c r="K10" s="21"/>
      <c r="L10" s="21"/>
      <c r="M10" s="21"/>
      <c r="N10" s="21"/>
      <c r="O10" s="21"/>
      <c r="P10" s="21"/>
      <c r="Q10" s="21"/>
      <c r="R10" s="21"/>
      <c r="S10" s="21"/>
      <c r="T10" s="21"/>
      <c r="U10" s="21"/>
      <c r="V10" s="21"/>
      <c r="W10" s="21"/>
      <c r="X10" s="21"/>
      <c r="Y10" s="21"/>
    </row>
    <row r="11" spans="2:25" x14ac:dyDescent="0.25">
      <c r="B11" s="18" t="s">
        <v>58</v>
      </c>
      <c r="C11" s="21"/>
      <c r="D11" s="21">
        <f>'[1]Gastos de operacion'!F21</f>
        <v>547514.34948000009</v>
      </c>
      <c r="E11" s="21">
        <f>'[1]Gastos de operacion'!G21</f>
        <v>558464.63646960002</v>
      </c>
      <c r="F11" s="21">
        <f>'[1]Gastos de operacion'!H21</f>
        <v>692793.73919899203</v>
      </c>
      <c r="G11" s="21">
        <f>'[1]Gastos de operacion'!I21</f>
        <v>706649.61398297199</v>
      </c>
      <c r="H11" s="21">
        <f>'[1]Gastos de operacion'!J21</f>
        <v>720782.60626263125</v>
      </c>
      <c r="I11" s="21">
        <f>'[1]Gastos de operacion'!K21</f>
        <v>735198.25838788413</v>
      </c>
      <c r="J11" s="21">
        <f>'[1]Gastos de operacion'!L21</f>
        <v>749902.2235556416</v>
      </c>
      <c r="K11" s="21">
        <f>'[1]Gastos de operacion'!M21</f>
        <v>764900.26802675461</v>
      </c>
      <c r="L11" s="21">
        <f>'[1]Gastos de operacion'!N21</f>
        <v>780198.27338728972</v>
      </c>
      <c r="M11" s="21">
        <f>'[1]Gastos de operacion'!O21</f>
        <v>795802.23885503551</v>
      </c>
      <c r="N11" s="21">
        <f>'[1]Gastos de operacion'!P21</f>
        <v>811718.2836321363</v>
      </c>
      <c r="O11" s="21">
        <f>'[1]Gastos de operacion'!Q21</f>
        <v>827952.64930477901</v>
      </c>
      <c r="P11" s="21">
        <f>'[1]Gastos de operacion'!R21</f>
        <v>844511.70229087467</v>
      </c>
      <c r="Q11" s="21">
        <f>'[1]Gastos de operacion'!S21</f>
        <v>861401.93633669207</v>
      </c>
      <c r="R11" s="21">
        <f>'[1]Gastos de operacion'!T21</f>
        <v>878629.97506342595</v>
      </c>
      <c r="S11" s="21">
        <f>'[1]Gastos de operacion'!U21</f>
        <v>896202.57456469431</v>
      </c>
      <c r="T11" s="21">
        <f>'[1]Gastos de operacion'!V21</f>
        <v>914126.62605598837</v>
      </c>
      <c r="U11" s="21">
        <f>'[1]Gastos de operacion'!W21</f>
        <v>932409.15857710829</v>
      </c>
      <c r="V11" s="21">
        <f>'[1]Gastos de operacion'!X21</f>
        <v>951057.34174865054</v>
      </c>
      <c r="W11" s="21">
        <f>'[1]Gastos de operacion'!Y21</f>
        <v>970078.48858362355</v>
      </c>
      <c r="X11" s="21">
        <f>'[1]Gastos de operacion'!Z21</f>
        <v>989480.05835529591</v>
      </c>
      <c r="Y11" s="21">
        <f>'[1]Gastos de operacion'!AA21</f>
        <v>1009269.6595224018</v>
      </c>
    </row>
    <row r="12" spans="2:25" x14ac:dyDescent="0.25">
      <c r="B12" s="18" t="s">
        <v>57</v>
      </c>
      <c r="C12" s="21"/>
      <c r="D12" s="21">
        <f>'[1]Gastos de Personal'!F46</f>
        <v>847728.60834714607</v>
      </c>
      <c r="E12" s="21">
        <f>'[1]Gastos de Personal'!G46</f>
        <v>867369.03062775172</v>
      </c>
      <c r="F12" s="21">
        <f>'[1]Gastos de Personal'!H46</f>
        <v>887510.7696985614</v>
      </c>
      <c r="G12" s="21">
        <f>'[1]Gastos de Personal'!I46</f>
        <v>908168.23563250073</v>
      </c>
      <c r="H12" s="21">
        <f>'[1]Gastos de Personal'!J46</f>
        <v>929356.30380693346</v>
      </c>
      <c r="I12" s="21">
        <f>'[1]Gastos de Personal'!K46</f>
        <v>951090.33136471093</v>
      </c>
      <c r="J12" s="21">
        <f>'[1]Gastos de Personal'!L46</f>
        <v>1392274.8802216966</v>
      </c>
      <c r="K12" s="21">
        <f>'[1]Gastos de Personal'!M46</f>
        <v>1423526.6851942078</v>
      </c>
      <c r="L12" s="21">
        <f>'[1]Gastos de Personal'!N46</f>
        <v>1455541.1410838398</v>
      </c>
      <c r="M12" s="21">
        <f>'[1]Gastos de Personal'!O46</f>
        <v>1488339.0605475686</v>
      </c>
      <c r="N12" s="21">
        <f>'[1]Gastos de Personal'!P46</f>
        <v>1521941.897104911</v>
      </c>
      <c r="O12" s="21">
        <f>'[1]Gastos de Personal'!Q46</f>
        <v>1556371.7670293944</v>
      </c>
      <c r="P12" s="21">
        <f>'[1]Gastos de Personal'!R46</f>
        <v>1591651.4720444556</v>
      </c>
      <c r="Q12" s="21">
        <f>'[1]Gastos de Personal'!S46</f>
        <v>1627804.5228546672</v>
      </c>
      <c r="R12" s="21">
        <f>'[1]Gastos de Personal'!T46</f>
        <v>1664855.1635444034</v>
      </c>
      <c r="S12" s="21">
        <f>'[1]Gastos de Personal'!U46</f>
        <v>1702828.3968773328</v>
      </c>
      <c r="T12" s="21">
        <f>'[1]Gastos de Personal'!V46</f>
        <v>1741750.0105314278</v>
      </c>
      <c r="U12" s="21">
        <f>'[1]Gastos de Personal'!W46</f>
        <v>1781646.604305553</v>
      </c>
      <c r="V12" s="21">
        <f>'[1]Gastos de Personal'!X46</f>
        <v>2353797.7824634816</v>
      </c>
      <c r="W12" s="21">
        <f>'[1]Gastos de Personal'!Y46</f>
        <v>2406352.5697667287</v>
      </c>
      <c r="X12" s="21">
        <f>'[1]Gastos de Personal'!Z46</f>
        <v>2460179.7976148622</v>
      </c>
      <c r="Y12" s="21">
        <f>'[1]Gastos de Personal'!AA46</f>
        <v>2515313.857148651</v>
      </c>
    </row>
    <row r="13" spans="2:25" x14ac:dyDescent="0.25">
      <c r="B13" s="18" t="s">
        <v>56</v>
      </c>
      <c r="C13" s="21">
        <f>0</f>
        <v>0</v>
      </c>
      <c r="D13" s="21">
        <f>+'[1]Activos y Depreciación'!G8</f>
        <v>963432.79754149984</v>
      </c>
      <c r="E13" s="21">
        <f>D13</f>
        <v>963432.79754149984</v>
      </c>
      <c r="F13" s="21">
        <f t="shared" ref="F13:Y13" si="0">E13</f>
        <v>963432.79754149984</v>
      </c>
      <c r="G13" s="21">
        <f t="shared" si="0"/>
        <v>963432.79754149984</v>
      </c>
      <c r="H13" s="21">
        <f t="shared" si="0"/>
        <v>963432.79754149984</v>
      </c>
      <c r="I13" s="21">
        <f t="shared" si="0"/>
        <v>963432.79754149984</v>
      </c>
      <c r="J13" s="21">
        <f t="shared" si="0"/>
        <v>963432.79754149984</v>
      </c>
      <c r="K13" s="21">
        <f t="shared" si="0"/>
        <v>963432.79754149984</v>
      </c>
      <c r="L13" s="21">
        <f t="shared" si="0"/>
        <v>963432.79754149984</v>
      </c>
      <c r="M13" s="21">
        <f t="shared" si="0"/>
        <v>963432.79754149984</v>
      </c>
      <c r="N13" s="21">
        <f t="shared" si="0"/>
        <v>963432.79754149984</v>
      </c>
      <c r="O13" s="21">
        <f t="shared" si="0"/>
        <v>963432.79754149984</v>
      </c>
      <c r="P13" s="21">
        <f t="shared" si="0"/>
        <v>963432.79754149984</v>
      </c>
      <c r="Q13" s="21">
        <f t="shared" si="0"/>
        <v>963432.79754149984</v>
      </c>
      <c r="R13" s="21">
        <f t="shared" si="0"/>
        <v>963432.79754149984</v>
      </c>
      <c r="S13" s="21">
        <f t="shared" si="0"/>
        <v>963432.79754149984</v>
      </c>
      <c r="T13" s="21">
        <f t="shared" si="0"/>
        <v>963432.79754149984</v>
      </c>
      <c r="U13" s="21">
        <f t="shared" si="0"/>
        <v>963432.79754149984</v>
      </c>
      <c r="V13" s="21">
        <f t="shared" si="0"/>
        <v>963432.79754149984</v>
      </c>
      <c r="W13" s="21">
        <f t="shared" si="0"/>
        <v>963432.79754149984</v>
      </c>
      <c r="X13" s="21">
        <f t="shared" si="0"/>
        <v>963432.79754149984</v>
      </c>
      <c r="Y13" s="21">
        <f t="shared" si="0"/>
        <v>963432.79754149984</v>
      </c>
    </row>
    <row r="14" spans="2:25" x14ac:dyDescent="0.25">
      <c r="B14" s="18" t="s">
        <v>55</v>
      </c>
      <c r="C14" s="16"/>
      <c r="D14" s="16">
        <f>SUM(D11:D13)</f>
        <v>2358675.7553686462</v>
      </c>
      <c r="E14" s="16">
        <f t="shared" ref="E14:Y14" si="1">SUM(E11:E13)</f>
        <v>2389266.4646388516</v>
      </c>
      <c r="F14" s="16">
        <f t="shared" si="1"/>
        <v>2543737.3064390533</v>
      </c>
      <c r="G14" s="16">
        <f t="shared" si="1"/>
        <v>2578250.6471569724</v>
      </c>
      <c r="H14" s="16">
        <f t="shared" si="1"/>
        <v>2613571.7076110644</v>
      </c>
      <c r="I14" s="16">
        <f t="shared" si="1"/>
        <v>2649721.387294095</v>
      </c>
      <c r="J14" s="16">
        <f t="shared" si="1"/>
        <v>3105609.9013188379</v>
      </c>
      <c r="K14" s="16">
        <f t="shared" si="1"/>
        <v>3151859.7507624626</v>
      </c>
      <c r="L14" s="16">
        <f t="shared" si="1"/>
        <v>3199172.212012629</v>
      </c>
      <c r="M14" s="16">
        <f t="shared" si="1"/>
        <v>3247574.0969441039</v>
      </c>
      <c r="N14" s="16">
        <f t="shared" si="1"/>
        <v>3297092.9782785475</v>
      </c>
      <c r="O14" s="16">
        <f t="shared" si="1"/>
        <v>3347757.2138756737</v>
      </c>
      <c r="P14" s="16">
        <f t="shared" si="1"/>
        <v>3399595.9718768299</v>
      </c>
      <c r="Q14" s="16">
        <f t="shared" si="1"/>
        <v>3452639.2567328587</v>
      </c>
      <c r="R14" s="16">
        <f t="shared" si="1"/>
        <v>3506917.9361493289</v>
      </c>
      <c r="S14" s="16">
        <f t="shared" si="1"/>
        <v>3562463.7689835271</v>
      </c>
      <c r="T14" s="16">
        <f t="shared" si="1"/>
        <v>3619309.4341289159</v>
      </c>
      <c r="U14" s="16">
        <f t="shared" si="1"/>
        <v>3677488.5604241611</v>
      </c>
      <c r="V14" s="16">
        <f t="shared" si="1"/>
        <v>4268287.9217536319</v>
      </c>
      <c r="W14" s="16">
        <f t="shared" si="1"/>
        <v>4339863.8558918517</v>
      </c>
      <c r="X14" s="16">
        <f t="shared" si="1"/>
        <v>4413092.6535116583</v>
      </c>
      <c r="Y14" s="16">
        <f t="shared" si="1"/>
        <v>4488016.3142125523</v>
      </c>
    </row>
    <row r="15" spans="2:25" x14ac:dyDescent="0.25">
      <c r="B15" s="18" t="s">
        <v>54</v>
      </c>
      <c r="C15" s="16"/>
      <c r="D15" s="16">
        <f>D8*[1]Datos!$C$74</f>
        <v>220354.3855872408</v>
      </c>
      <c r="E15" s="16">
        <f>E8*[1]Datos!$C$74</f>
        <v>231884.50879923429</v>
      </c>
      <c r="F15" s="16">
        <f>F8*[1]Datos!$C$74</f>
        <v>243885.68874985713</v>
      </c>
      <c r="G15" s="16">
        <f>G8*[1]Datos!$C$74</f>
        <v>256376.18658627709</v>
      </c>
      <c r="H15" s="16">
        <f>H8*[1]Datos!$C$74</f>
        <v>294777.23710820748</v>
      </c>
      <c r="I15" s="16">
        <f>I8*[1]Datos!$C$74</f>
        <v>309490.96312268538</v>
      </c>
      <c r="J15" s="16">
        <f>J8*[1]Datos!$C$74</f>
        <v>324795.74417559255</v>
      </c>
      <c r="K15" s="16">
        <f>K8*[1]Datos!$C$74</f>
        <v>333204.02953095164</v>
      </c>
      <c r="L15" s="16">
        <f>L8*[1]Datos!$C$74</f>
        <v>383731.81828425213</v>
      </c>
      <c r="M15" s="16">
        <f>M8*[1]Datos!$C$74</f>
        <v>393624.16802580399</v>
      </c>
      <c r="N15" s="16">
        <f>N8*[1]Datos!$C$74</f>
        <v>412725.19867988583</v>
      </c>
      <c r="O15" s="16">
        <f>O8*[1]Datos!$C$74</f>
        <v>423409.34543430072</v>
      </c>
      <c r="P15" s="16">
        <f>P8*[1]Datos!$C$74</f>
        <v>485816.21269580297</v>
      </c>
      <c r="Q15" s="16">
        <f>Q8*[1]Datos!$C$74</f>
        <v>498336.69773494173</v>
      </c>
      <c r="R15" s="16">
        <f>R8*[1]Datos!$C$74</f>
        <v>522020.40399234503</v>
      </c>
      <c r="S15" s="16">
        <f>S8*[1]Datos!$C$74</f>
        <v>535528.63863877649</v>
      </c>
      <c r="T15" s="16">
        <f>T8*[1]Datos!$C$74</f>
        <v>590272.82768259512</v>
      </c>
      <c r="U15" s="16">
        <f>U8*[1]Datos!$C$74</f>
        <v>605507.32942576183</v>
      </c>
      <c r="V15" s="16">
        <f>V8*[1]Datos!$C$74</f>
        <v>621160.78427504143</v>
      </c>
      <c r="W15" s="16">
        <f>W8*[1]Datos!$C$74</f>
        <v>637245.73767363804</v>
      </c>
      <c r="X15" s="16">
        <f>X8*[1]Datos!$C$74</f>
        <v>653775.14925987727</v>
      </c>
      <c r="Y15" s="16">
        <f>Y8*[1]Datos!$C$74</f>
        <v>670762.40788046084</v>
      </c>
    </row>
    <row r="16" spans="2:25" x14ac:dyDescent="0.25">
      <c r="B16" s="20" t="s">
        <v>53</v>
      </c>
      <c r="C16" s="16"/>
      <c r="D16" s="16">
        <f>D8-D14-D15</f>
        <v>1828057.570788929</v>
      </c>
      <c r="E16" s="16">
        <f t="shared" ref="E16:Y16" si="2">E8-E14-E15</f>
        <v>2016539.2025465993</v>
      </c>
      <c r="F16" s="16">
        <f t="shared" si="2"/>
        <v>2090090.7798082316</v>
      </c>
      <c r="G16" s="16">
        <f t="shared" si="2"/>
        <v>2292896.8979822923</v>
      </c>
      <c r="H16" s="16">
        <f t="shared" si="2"/>
        <v>2987195.7974448781</v>
      </c>
      <c r="I16" s="16">
        <f t="shared" si="2"/>
        <v>3230606.9120369265</v>
      </c>
      <c r="J16" s="16">
        <f t="shared" si="2"/>
        <v>3065509.2380174203</v>
      </c>
      <c r="K16" s="16">
        <f t="shared" si="2"/>
        <v>3179016.8103256179</v>
      </c>
      <c r="L16" s="16">
        <f t="shared" si="2"/>
        <v>4091732.3353881608</v>
      </c>
      <c r="M16" s="16">
        <f t="shared" si="2"/>
        <v>4231285.095546172</v>
      </c>
      <c r="N16" s="16">
        <f t="shared" si="2"/>
        <v>4544685.7966392823</v>
      </c>
      <c r="O16" s="16">
        <f t="shared" si="2"/>
        <v>4697020.3493760396</v>
      </c>
      <c r="P16" s="16">
        <f t="shared" si="2"/>
        <v>5830912.0693434263</v>
      </c>
      <c r="Q16" s="16">
        <f t="shared" si="2"/>
        <v>6015758.0002310341</v>
      </c>
      <c r="R16" s="16">
        <f t="shared" si="2"/>
        <v>6411469.7397052264</v>
      </c>
      <c r="S16" s="16">
        <f t="shared" si="2"/>
        <v>6612580.3651532251</v>
      </c>
      <c r="T16" s="16">
        <f t="shared" si="2"/>
        <v>7595874.2918403922</v>
      </c>
      <c r="U16" s="16">
        <f t="shared" si="2"/>
        <v>7827150.6986653116</v>
      </c>
      <c r="V16" s="16">
        <f t="shared" si="2"/>
        <v>7533766.9794721548</v>
      </c>
      <c r="W16" s="16">
        <f t="shared" si="2"/>
        <v>7767805.1599072702</v>
      </c>
      <c r="X16" s="16">
        <f t="shared" si="2"/>
        <v>8008635.1824260084</v>
      </c>
      <c r="Y16" s="16">
        <f t="shared" si="2"/>
        <v>8256469.4355162028</v>
      </c>
    </row>
    <row r="17" spans="2:25" x14ac:dyDescent="0.25">
      <c r="B17" s="18"/>
      <c r="C17" s="2"/>
      <c r="D17" s="2"/>
      <c r="E17" s="2"/>
      <c r="F17" s="2"/>
      <c r="G17" s="2"/>
      <c r="H17" s="2"/>
      <c r="I17" s="2"/>
      <c r="J17" s="2"/>
      <c r="K17" s="2"/>
      <c r="L17" s="2"/>
      <c r="M17" s="2"/>
      <c r="N17" s="2"/>
      <c r="O17" s="2"/>
      <c r="P17" s="2"/>
      <c r="Q17" s="2"/>
      <c r="R17" s="2"/>
      <c r="S17" s="2"/>
      <c r="T17" s="2"/>
      <c r="U17" s="2"/>
      <c r="V17" s="2"/>
      <c r="W17" s="2"/>
      <c r="X17" s="2"/>
      <c r="Y17" s="2"/>
    </row>
    <row r="18" spans="2:25" x14ac:dyDescent="0.25">
      <c r="B18" s="20" t="s">
        <v>52</v>
      </c>
      <c r="C18" s="16">
        <f>0.15*C16</f>
        <v>0</v>
      </c>
      <c r="D18" s="16">
        <f>0.15*D16</f>
        <v>274208.63561833935</v>
      </c>
      <c r="E18" s="16">
        <f t="shared" ref="E18:Y18" si="3">0.15*E16</f>
        <v>302480.88038198987</v>
      </c>
      <c r="F18" s="16">
        <f t="shared" si="3"/>
        <v>313513.61697123473</v>
      </c>
      <c r="G18" s="16">
        <f t="shared" si="3"/>
        <v>343934.53469734383</v>
      </c>
      <c r="H18" s="16">
        <f t="shared" si="3"/>
        <v>448079.36961673171</v>
      </c>
      <c r="I18" s="16">
        <f t="shared" si="3"/>
        <v>484591.03680553893</v>
      </c>
      <c r="J18" s="16">
        <f t="shared" si="3"/>
        <v>459826.38570261304</v>
      </c>
      <c r="K18" s="16">
        <f t="shared" si="3"/>
        <v>476852.52154884266</v>
      </c>
      <c r="L18" s="16">
        <f t="shared" si="3"/>
        <v>613759.85030822409</v>
      </c>
      <c r="M18" s="16">
        <f t="shared" si="3"/>
        <v>634692.76433192578</v>
      </c>
      <c r="N18" s="16">
        <f t="shared" si="3"/>
        <v>681702.86949589232</v>
      </c>
      <c r="O18" s="16">
        <f t="shared" si="3"/>
        <v>704553.05240640591</v>
      </c>
      <c r="P18" s="16">
        <f t="shared" si="3"/>
        <v>874636.81040151394</v>
      </c>
      <c r="Q18" s="16">
        <f t="shared" si="3"/>
        <v>902363.70003465505</v>
      </c>
      <c r="R18" s="16">
        <f t="shared" si="3"/>
        <v>961720.46095578396</v>
      </c>
      <c r="S18" s="16">
        <f t="shared" si="3"/>
        <v>991887.05477298377</v>
      </c>
      <c r="T18" s="16">
        <f t="shared" si="3"/>
        <v>1139381.1437760587</v>
      </c>
      <c r="U18" s="16">
        <f t="shared" si="3"/>
        <v>1174072.6047997966</v>
      </c>
      <c r="V18" s="16">
        <f t="shared" si="3"/>
        <v>1130065.0469208232</v>
      </c>
      <c r="W18" s="16">
        <f t="shared" si="3"/>
        <v>1165170.7739860904</v>
      </c>
      <c r="X18" s="16">
        <f t="shared" si="3"/>
        <v>1201295.2773639013</v>
      </c>
      <c r="Y18" s="16">
        <f t="shared" si="3"/>
        <v>1238470.4153274305</v>
      </c>
    </row>
    <row r="19" spans="2:25" ht="30" x14ac:dyDescent="0.25">
      <c r="B19" s="18" t="s">
        <v>51</v>
      </c>
      <c r="C19" s="16">
        <f>C16-C18</f>
        <v>0</v>
      </c>
      <c r="D19" s="16">
        <f>D16-D18</f>
        <v>1553848.9351705897</v>
      </c>
      <c r="E19" s="16">
        <f t="shared" ref="E19:Y19" si="4">E16-E18</f>
        <v>1714058.3221646096</v>
      </c>
      <c r="F19" s="16">
        <f t="shared" si="4"/>
        <v>1776577.1628369968</v>
      </c>
      <c r="G19" s="16">
        <f t="shared" si="4"/>
        <v>1948962.3632849485</v>
      </c>
      <c r="H19" s="16">
        <f t="shared" si="4"/>
        <v>2539116.4278281466</v>
      </c>
      <c r="I19" s="16">
        <f t="shared" si="4"/>
        <v>2746015.8752313876</v>
      </c>
      <c r="J19" s="16">
        <f t="shared" si="4"/>
        <v>2605682.8523148075</v>
      </c>
      <c r="K19" s="16">
        <f t="shared" si="4"/>
        <v>2702164.2887767754</v>
      </c>
      <c r="L19" s="16">
        <f t="shared" si="4"/>
        <v>3477972.4850799367</v>
      </c>
      <c r="M19" s="16">
        <f t="shared" si="4"/>
        <v>3596592.3312142463</v>
      </c>
      <c r="N19" s="16">
        <f t="shared" si="4"/>
        <v>3862982.9271433898</v>
      </c>
      <c r="O19" s="16">
        <f t="shared" si="4"/>
        <v>3992467.2969696335</v>
      </c>
      <c r="P19" s="16">
        <f t="shared" si="4"/>
        <v>4956275.2589419121</v>
      </c>
      <c r="Q19" s="16">
        <f t="shared" si="4"/>
        <v>5113394.3001963794</v>
      </c>
      <c r="R19" s="16">
        <f t="shared" si="4"/>
        <v>5449749.2787494427</v>
      </c>
      <c r="S19" s="16">
        <f t="shared" si="4"/>
        <v>5620693.3103802409</v>
      </c>
      <c r="T19" s="16">
        <f t="shared" si="4"/>
        <v>6456493.1480643339</v>
      </c>
      <c r="U19" s="16">
        <f t="shared" si="4"/>
        <v>6653078.0938655147</v>
      </c>
      <c r="V19" s="16">
        <f t="shared" si="4"/>
        <v>6403701.9325513318</v>
      </c>
      <c r="W19" s="16">
        <f t="shared" si="4"/>
        <v>6602634.3859211802</v>
      </c>
      <c r="X19" s="16">
        <f t="shared" si="4"/>
        <v>6807339.9050621074</v>
      </c>
      <c r="Y19" s="16">
        <f t="shared" si="4"/>
        <v>7017999.0201887721</v>
      </c>
    </row>
    <row r="20" spans="2:25" x14ac:dyDescent="0.25">
      <c r="B20" s="18" t="s">
        <v>50</v>
      </c>
      <c r="C20" s="16">
        <f>0.25*C19</f>
        <v>0</v>
      </c>
      <c r="D20" s="16">
        <f t="shared" ref="D20:Y20" si="5">0.25*D19</f>
        <v>388462.23379264743</v>
      </c>
      <c r="E20" s="16">
        <f t="shared" si="5"/>
        <v>428514.58054115239</v>
      </c>
      <c r="F20" s="16">
        <f t="shared" si="5"/>
        <v>444144.29070924921</v>
      </c>
      <c r="G20" s="16">
        <f t="shared" si="5"/>
        <v>487240.59082123713</v>
      </c>
      <c r="H20" s="16">
        <f t="shared" si="5"/>
        <v>634779.10695703665</v>
      </c>
      <c r="I20" s="16">
        <f t="shared" si="5"/>
        <v>686503.96880784689</v>
      </c>
      <c r="J20" s="16">
        <f t="shared" si="5"/>
        <v>651420.71307870187</v>
      </c>
      <c r="K20" s="16">
        <f t="shared" si="5"/>
        <v>675541.07219419384</v>
      </c>
      <c r="L20" s="16">
        <f t="shared" si="5"/>
        <v>869493.12126998417</v>
      </c>
      <c r="M20" s="16">
        <f t="shared" si="5"/>
        <v>899148.08280356159</v>
      </c>
      <c r="N20" s="16">
        <f t="shared" si="5"/>
        <v>965745.73178584746</v>
      </c>
      <c r="O20" s="16">
        <f t="shared" si="5"/>
        <v>998116.82424240839</v>
      </c>
      <c r="P20" s="16">
        <f t="shared" si="5"/>
        <v>1239068.814735478</v>
      </c>
      <c r="Q20" s="16">
        <f t="shared" si="5"/>
        <v>1278348.5750490949</v>
      </c>
      <c r="R20" s="16">
        <f t="shared" si="5"/>
        <v>1362437.3196873607</v>
      </c>
      <c r="S20" s="16">
        <f t="shared" si="5"/>
        <v>1405173.3275950602</v>
      </c>
      <c r="T20" s="16">
        <f t="shared" si="5"/>
        <v>1614123.2870160835</v>
      </c>
      <c r="U20" s="16">
        <f t="shared" si="5"/>
        <v>1663269.5234663787</v>
      </c>
      <c r="V20" s="16">
        <f t="shared" si="5"/>
        <v>1600925.483137833</v>
      </c>
      <c r="W20" s="16">
        <f t="shared" si="5"/>
        <v>1650658.5964802951</v>
      </c>
      <c r="X20" s="16">
        <f t="shared" si="5"/>
        <v>1701834.9762655268</v>
      </c>
      <c r="Y20" s="16">
        <f t="shared" si="5"/>
        <v>1754499.755047193</v>
      </c>
    </row>
    <row r="21" spans="2:25" x14ac:dyDescent="0.25">
      <c r="B21" s="20" t="s">
        <v>49</v>
      </c>
      <c r="C21" s="16">
        <f>C19-C20</f>
        <v>0</v>
      </c>
      <c r="D21" s="16">
        <f>D19-D20</f>
        <v>1165386.7013779422</v>
      </c>
      <c r="E21" s="16">
        <f t="shared" ref="E21:Y21" si="6">E19-E20</f>
        <v>1285543.7416234571</v>
      </c>
      <c r="F21" s="16">
        <f t="shared" si="6"/>
        <v>1332432.8721277476</v>
      </c>
      <c r="G21" s="16">
        <f t="shared" si="6"/>
        <v>1461721.7724637114</v>
      </c>
      <c r="H21" s="16">
        <f t="shared" si="6"/>
        <v>1904337.3208711101</v>
      </c>
      <c r="I21" s="16">
        <f t="shared" si="6"/>
        <v>2059511.9064235408</v>
      </c>
      <c r="J21" s="16">
        <f t="shared" si="6"/>
        <v>1954262.1392361056</v>
      </c>
      <c r="K21" s="16">
        <f t="shared" si="6"/>
        <v>2026623.2165825814</v>
      </c>
      <c r="L21" s="16">
        <f t="shared" si="6"/>
        <v>2608479.3638099525</v>
      </c>
      <c r="M21" s="16">
        <f t="shared" si="6"/>
        <v>2697444.248410685</v>
      </c>
      <c r="N21" s="16">
        <f t="shared" si="6"/>
        <v>2897237.1953575425</v>
      </c>
      <c r="O21" s="16">
        <f t="shared" si="6"/>
        <v>2994350.4727272252</v>
      </c>
      <c r="P21" s="16">
        <f t="shared" si="6"/>
        <v>3717206.4442064343</v>
      </c>
      <c r="Q21" s="16">
        <f t="shared" si="6"/>
        <v>3835045.7251472846</v>
      </c>
      <c r="R21" s="16">
        <f t="shared" si="6"/>
        <v>4087311.9590620818</v>
      </c>
      <c r="S21" s="16">
        <f t="shared" si="6"/>
        <v>4215519.9827851802</v>
      </c>
      <c r="T21" s="16">
        <f t="shared" si="6"/>
        <v>4842369.8610482505</v>
      </c>
      <c r="U21" s="16">
        <f t="shared" si="6"/>
        <v>4989808.5703991363</v>
      </c>
      <c r="V21" s="16">
        <f t="shared" si="6"/>
        <v>4802776.4494134989</v>
      </c>
      <c r="W21" s="16">
        <f t="shared" si="6"/>
        <v>4951975.7894408852</v>
      </c>
      <c r="X21" s="16">
        <f t="shared" si="6"/>
        <v>5105504.9287965801</v>
      </c>
      <c r="Y21" s="16">
        <f t="shared" si="6"/>
        <v>5263499.2651415793</v>
      </c>
    </row>
    <row r="22" spans="2:25" x14ac:dyDescent="0.25">
      <c r="B22" s="18"/>
      <c r="C22" s="16"/>
      <c r="D22" s="2"/>
      <c r="E22" s="2"/>
      <c r="F22" s="2"/>
      <c r="G22" s="2"/>
      <c r="H22" s="2"/>
      <c r="I22" s="2"/>
      <c r="J22" s="2"/>
      <c r="K22" s="2"/>
      <c r="L22" s="2"/>
      <c r="M22" s="2"/>
      <c r="N22" s="2"/>
      <c r="O22" s="2"/>
      <c r="P22" s="2"/>
      <c r="Q22" s="2"/>
      <c r="R22" s="2"/>
      <c r="S22" s="2"/>
      <c r="T22" s="2"/>
      <c r="U22" s="2"/>
      <c r="V22" s="2"/>
      <c r="W22" s="2"/>
      <c r="X22" s="2"/>
      <c r="Y22" s="2"/>
    </row>
    <row r="23" spans="2:25" ht="30" x14ac:dyDescent="0.25">
      <c r="B23" s="18" t="s">
        <v>48</v>
      </c>
      <c r="C23" s="16">
        <f>C21+C13</f>
        <v>0</v>
      </c>
      <c r="D23" s="16">
        <f>D21+D13</f>
        <v>2128819.4989194423</v>
      </c>
      <c r="E23" s="16">
        <f t="shared" ref="E23:Y23" si="7">E21+E13</f>
        <v>2248976.5391649567</v>
      </c>
      <c r="F23" s="16">
        <f t="shared" si="7"/>
        <v>2295865.6696692472</v>
      </c>
      <c r="G23" s="16">
        <f t="shared" si="7"/>
        <v>2425154.570005211</v>
      </c>
      <c r="H23" s="16">
        <f t="shared" si="7"/>
        <v>2867770.1184126101</v>
      </c>
      <c r="I23" s="16">
        <f t="shared" si="7"/>
        <v>3022944.7039650409</v>
      </c>
      <c r="J23" s="16">
        <f t="shared" si="7"/>
        <v>2917694.9367776057</v>
      </c>
      <c r="K23" s="16">
        <f t="shared" si="7"/>
        <v>2990056.0141240815</v>
      </c>
      <c r="L23" s="16">
        <f t="shared" si="7"/>
        <v>3571912.1613514526</v>
      </c>
      <c r="M23" s="16">
        <f t="shared" si="7"/>
        <v>3660877.0459521851</v>
      </c>
      <c r="N23" s="16">
        <f t="shared" si="7"/>
        <v>3860669.9928990426</v>
      </c>
      <c r="O23" s="16">
        <f t="shared" si="7"/>
        <v>3957783.2702687252</v>
      </c>
      <c r="P23" s="16">
        <f t="shared" si="7"/>
        <v>4680639.2417479344</v>
      </c>
      <c r="Q23" s="16">
        <f t="shared" si="7"/>
        <v>4798478.5226887846</v>
      </c>
      <c r="R23" s="16">
        <f t="shared" si="7"/>
        <v>5050744.7566035818</v>
      </c>
      <c r="S23" s="16">
        <f t="shared" si="7"/>
        <v>5178952.7803266803</v>
      </c>
      <c r="T23" s="16">
        <f t="shared" si="7"/>
        <v>5805802.6585897505</v>
      </c>
      <c r="U23" s="16">
        <f t="shared" si="7"/>
        <v>5953241.3679406364</v>
      </c>
      <c r="V23" s="16">
        <f t="shared" si="7"/>
        <v>5766209.2469549989</v>
      </c>
      <c r="W23" s="16">
        <f t="shared" si="7"/>
        <v>5915408.5869823853</v>
      </c>
      <c r="X23" s="16">
        <f t="shared" si="7"/>
        <v>6068937.7263380801</v>
      </c>
      <c r="Y23" s="16">
        <f t="shared" si="7"/>
        <v>6226932.0626830794</v>
      </c>
    </row>
    <row r="24" spans="2:25" x14ac:dyDescent="0.25">
      <c r="B24" s="18"/>
      <c r="C24" s="2"/>
      <c r="D24" s="2"/>
      <c r="E24" s="2"/>
      <c r="F24" s="2"/>
      <c r="G24" s="2"/>
      <c r="H24" s="2"/>
      <c r="I24" s="2"/>
      <c r="J24" s="2"/>
      <c r="K24" s="2"/>
      <c r="L24" s="2"/>
      <c r="M24" s="2"/>
      <c r="N24" s="2"/>
      <c r="O24" s="2"/>
      <c r="P24" s="2"/>
      <c r="Q24" s="2"/>
      <c r="R24" s="2"/>
      <c r="S24" s="2"/>
      <c r="T24" s="2"/>
      <c r="U24" s="2"/>
      <c r="V24" s="2"/>
      <c r="W24" s="2"/>
      <c r="X24" s="2"/>
      <c r="Y24" s="2"/>
    </row>
    <row r="25" spans="2:25" x14ac:dyDescent="0.25">
      <c r="B25" s="20" t="s">
        <v>47</v>
      </c>
      <c r="C25" s="2"/>
      <c r="D25" s="2"/>
      <c r="E25" s="2"/>
      <c r="F25" s="2"/>
      <c r="G25" s="2"/>
      <c r="H25" s="2"/>
      <c r="I25" s="2"/>
      <c r="J25" s="2"/>
      <c r="K25" s="2"/>
      <c r="L25" s="2"/>
      <c r="M25" s="2"/>
      <c r="N25" s="2"/>
      <c r="O25" s="2"/>
      <c r="P25" s="2"/>
      <c r="Q25" s="2"/>
      <c r="R25" s="2"/>
      <c r="S25" s="2"/>
      <c r="T25" s="2"/>
      <c r="U25" s="2"/>
      <c r="V25" s="2"/>
      <c r="W25" s="2"/>
      <c r="X25" s="2"/>
      <c r="Y25" s="2"/>
    </row>
    <row r="26" spans="2:25" x14ac:dyDescent="0.25">
      <c r="B26" s="18" t="s">
        <v>46</v>
      </c>
      <c r="C26" s="19">
        <v>5.0000000000000001E-3</v>
      </c>
      <c r="D26" s="2"/>
      <c r="E26" s="2"/>
      <c r="F26" s="2"/>
      <c r="G26" s="2"/>
      <c r="H26" s="2"/>
      <c r="I26" s="2"/>
      <c r="J26" s="2"/>
      <c r="K26" s="2"/>
      <c r="L26" s="2"/>
      <c r="M26" s="2"/>
      <c r="N26" s="2"/>
      <c r="O26" s="2"/>
      <c r="P26" s="2"/>
      <c r="Q26" s="2"/>
      <c r="R26" s="2"/>
      <c r="S26" s="2"/>
      <c r="T26" s="2"/>
      <c r="U26" s="2"/>
      <c r="V26" s="2"/>
      <c r="W26" s="2"/>
      <c r="X26" s="2"/>
      <c r="Y26" s="2"/>
    </row>
    <row r="27" spans="2:25" x14ac:dyDescent="0.25">
      <c r="B27" s="18" t="s">
        <v>45</v>
      </c>
      <c r="C27" s="16"/>
      <c r="D27" s="16">
        <f>$C$26*D8</f>
        <v>22035.438558724079</v>
      </c>
      <c r="E27" s="16">
        <f t="shared" ref="E27:Y27" si="8">$C$26*E8</f>
        <v>23188.450879923428</v>
      </c>
      <c r="F27" s="16">
        <f t="shared" si="8"/>
        <v>24388.568874985711</v>
      </c>
      <c r="G27" s="16">
        <f t="shared" si="8"/>
        <v>25637.618658627711</v>
      </c>
      <c r="H27" s="16">
        <f t="shared" si="8"/>
        <v>29477.723710820748</v>
      </c>
      <c r="I27" s="16">
        <f t="shared" si="8"/>
        <v>30949.096312268535</v>
      </c>
      <c r="J27" s="16">
        <f t="shared" si="8"/>
        <v>32479.574417559255</v>
      </c>
      <c r="K27" s="16">
        <f t="shared" si="8"/>
        <v>33320.402953095159</v>
      </c>
      <c r="L27" s="16">
        <f t="shared" si="8"/>
        <v>38373.181828425208</v>
      </c>
      <c r="M27" s="16">
        <f t="shared" si="8"/>
        <v>39362.416802580403</v>
      </c>
      <c r="N27" s="16">
        <f t="shared" si="8"/>
        <v>41272.51986798858</v>
      </c>
      <c r="O27" s="16">
        <f t="shared" si="8"/>
        <v>42340.93454343007</v>
      </c>
      <c r="P27" s="16">
        <f t="shared" si="8"/>
        <v>48581.621269580297</v>
      </c>
      <c r="Q27" s="16">
        <f t="shared" si="8"/>
        <v>49833.669773494177</v>
      </c>
      <c r="R27" s="16">
        <f t="shared" si="8"/>
        <v>52202.040399234502</v>
      </c>
      <c r="S27" s="16">
        <f t="shared" si="8"/>
        <v>53552.863863877647</v>
      </c>
      <c r="T27" s="16">
        <f t="shared" si="8"/>
        <v>59027.282768259516</v>
      </c>
      <c r="U27" s="16">
        <f t="shared" si="8"/>
        <v>60550.732942576178</v>
      </c>
      <c r="V27" s="16">
        <f t="shared" si="8"/>
        <v>62116.078427504144</v>
      </c>
      <c r="W27" s="16">
        <f t="shared" si="8"/>
        <v>63724.5737673638</v>
      </c>
      <c r="X27" s="16">
        <f t="shared" si="8"/>
        <v>65377.514925987722</v>
      </c>
      <c r="Y27" s="16">
        <f t="shared" si="8"/>
        <v>67076.240788046081</v>
      </c>
    </row>
    <row r="28" spans="2:25" x14ac:dyDescent="0.25">
      <c r="B28" s="17" t="s">
        <v>44</v>
      </c>
      <c r="C28" s="16">
        <f>-C27</f>
        <v>0</v>
      </c>
      <c r="D28" s="16">
        <f>C27-D27</f>
        <v>-22035.438558724079</v>
      </c>
      <c r="E28" s="16">
        <f t="shared" ref="E28:Y28" si="9">D27-E27</f>
        <v>-1153.0123211993487</v>
      </c>
      <c r="F28" s="16">
        <f t="shared" si="9"/>
        <v>-1200.1179950622827</v>
      </c>
      <c r="G28" s="16">
        <f t="shared" si="9"/>
        <v>-1249.049783642</v>
      </c>
      <c r="H28" s="16">
        <f t="shared" si="9"/>
        <v>-3840.1050521930374</v>
      </c>
      <c r="I28" s="16">
        <f t="shared" si="9"/>
        <v>-1471.372601447787</v>
      </c>
      <c r="J28" s="16">
        <f t="shared" si="9"/>
        <v>-1530.4781052907201</v>
      </c>
      <c r="K28" s="16">
        <f t="shared" si="9"/>
        <v>-840.82853553590394</v>
      </c>
      <c r="L28" s="16">
        <f t="shared" si="9"/>
        <v>-5052.7788753300483</v>
      </c>
      <c r="M28" s="16">
        <f t="shared" si="9"/>
        <v>-989.23497415519523</v>
      </c>
      <c r="N28" s="16">
        <f t="shared" si="9"/>
        <v>-1910.1030654081769</v>
      </c>
      <c r="O28" s="16">
        <f t="shared" si="9"/>
        <v>-1068.4146754414905</v>
      </c>
      <c r="P28" s="16">
        <f t="shared" si="9"/>
        <v>-6240.6867261502266</v>
      </c>
      <c r="Q28" s="16">
        <f t="shared" si="9"/>
        <v>-1252.0485039138803</v>
      </c>
      <c r="R28" s="16">
        <f t="shared" si="9"/>
        <v>-2368.3706257403246</v>
      </c>
      <c r="S28" s="16">
        <f t="shared" si="9"/>
        <v>-1350.8234646431447</v>
      </c>
      <c r="T28" s="16">
        <f t="shared" si="9"/>
        <v>-5474.4189043818697</v>
      </c>
      <c r="U28" s="16">
        <f t="shared" si="9"/>
        <v>-1523.450174316662</v>
      </c>
      <c r="V28" s="16">
        <f t="shared" si="9"/>
        <v>-1565.345484927966</v>
      </c>
      <c r="W28" s="16">
        <f t="shared" si="9"/>
        <v>-1608.4953398596554</v>
      </c>
      <c r="X28" s="16">
        <f t="shared" si="9"/>
        <v>-1652.9411586239221</v>
      </c>
      <c r="Y28" s="16">
        <f t="shared" si="9"/>
        <v>-1698.7258620583598</v>
      </c>
    </row>
    <row r="30" spans="2:25" ht="30" x14ac:dyDescent="0.25">
      <c r="B30" s="17" t="s">
        <v>43</v>
      </c>
      <c r="C30" s="2"/>
      <c r="D30" s="16">
        <f>C18</f>
        <v>0</v>
      </c>
      <c r="E30" s="16">
        <f t="shared" ref="E30:Y30" si="10">D18</f>
        <v>274208.63561833935</v>
      </c>
      <c r="F30" s="16">
        <f t="shared" si="10"/>
        <v>302480.88038198987</v>
      </c>
      <c r="G30" s="16">
        <f t="shared" si="10"/>
        <v>313513.61697123473</v>
      </c>
      <c r="H30" s="16">
        <f t="shared" si="10"/>
        <v>343934.53469734383</v>
      </c>
      <c r="I30" s="16">
        <f t="shared" si="10"/>
        <v>448079.36961673171</v>
      </c>
      <c r="J30" s="16">
        <f t="shared" si="10"/>
        <v>484591.03680553893</v>
      </c>
      <c r="K30" s="16">
        <f t="shared" si="10"/>
        <v>459826.38570261304</v>
      </c>
      <c r="L30" s="16">
        <f t="shared" si="10"/>
        <v>476852.52154884266</v>
      </c>
      <c r="M30" s="16">
        <f t="shared" si="10"/>
        <v>613759.85030822409</v>
      </c>
      <c r="N30" s="16">
        <f t="shared" si="10"/>
        <v>634692.76433192578</v>
      </c>
      <c r="O30" s="16">
        <f t="shared" si="10"/>
        <v>681702.86949589232</v>
      </c>
      <c r="P30" s="16">
        <f t="shared" si="10"/>
        <v>704553.05240640591</v>
      </c>
      <c r="Q30" s="16">
        <f t="shared" si="10"/>
        <v>874636.81040151394</v>
      </c>
      <c r="R30" s="16">
        <f t="shared" si="10"/>
        <v>902363.70003465505</v>
      </c>
      <c r="S30" s="16">
        <f t="shared" si="10"/>
        <v>961720.46095578396</v>
      </c>
      <c r="T30" s="16">
        <f t="shared" si="10"/>
        <v>991887.05477298377</v>
      </c>
      <c r="U30" s="16">
        <f t="shared" si="10"/>
        <v>1139381.1437760587</v>
      </c>
      <c r="V30" s="16">
        <f t="shared" si="10"/>
        <v>1174072.6047997966</v>
      </c>
      <c r="W30" s="16">
        <f t="shared" si="10"/>
        <v>1130065.0469208232</v>
      </c>
      <c r="X30" s="16">
        <f t="shared" si="10"/>
        <v>1165170.7739860904</v>
      </c>
      <c r="Y30" s="16">
        <f t="shared" si="10"/>
        <v>1201295.2773639013</v>
      </c>
    </row>
    <row r="34" spans="2:25" x14ac:dyDescent="0.25">
      <c r="B34" s="3" t="s">
        <v>42</v>
      </c>
      <c r="C34" s="15">
        <f>C28+C23+C18-C30</f>
        <v>0</v>
      </c>
      <c r="D34" s="15">
        <f t="shared" ref="D34:Y34" si="11">D28+D23+D18-D30</f>
        <v>2380992.6959790573</v>
      </c>
      <c r="E34" s="15">
        <f t="shared" si="11"/>
        <v>2276095.7716074078</v>
      </c>
      <c r="F34" s="15">
        <f t="shared" si="11"/>
        <v>2305698.2882634299</v>
      </c>
      <c r="G34" s="15">
        <f t="shared" si="11"/>
        <v>2454326.4379476784</v>
      </c>
      <c r="H34" s="15">
        <f t="shared" si="11"/>
        <v>2968074.8482798049</v>
      </c>
      <c r="I34" s="15">
        <f t="shared" si="11"/>
        <v>3057984.9985524006</v>
      </c>
      <c r="J34" s="15">
        <f t="shared" si="11"/>
        <v>2891399.8075693888</v>
      </c>
      <c r="K34" s="15">
        <f t="shared" si="11"/>
        <v>3006241.3214347754</v>
      </c>
      <c r="L34" s="15">
        <f t="shared" si="11"/>
        <v>3703766.7112355041</v>
      </c>
      <c r="M34" s="15">
        <f t="shared" si="11"/>
        <v>3680820.7250017314</v>
      </c>
      <c r="N34" s="15">
        <f t="shared" si="11"/>
        <v>3905769.994997601</v>
      </c>
      <c r="O34" s="15">
        <f t="shared" si="11"/>
        <v>3979565.0385037973</v>
      </c>
      <c r="P34" s="15">
        <f t="shared" si="11"/>
        <v>4844482.3130168924</v>
      </c>
      <c r="Q34" s="15">
        <f t="shared" si="11"/>
        <v>4824953.3638180112</v>
      </c>
      <c r="R34" s="15">
        <f t="shared" si="11"/>
        <v>5107733.1468989709</v>
      </c>
      <c r="S34" s="15">
        <f t="shared" si="11"/>
        <v>5207768.5506792367</v>
      </c>
      <c r="T34" s="15">
        <f t="shared" si="11"/>
        <v>5947822.3286884427</v>
      </c>
      <c r="U34" s="15">
        <f t="shared" si="11"/>
        <v>5986409.3787900582</v>
      </c>
      <c r="V34" s="15">
        <f t="shared" si="11"/>
        <v>5720636.3435910968</v>
      </c>
      <c r="W34" s="15">
        <f t="shared" si="11"/>
        <v>5948905.818707794</v>
      </c>
      <c r="X34" s="15">
        <f t="shared" si="11"/>
        <v>6103409.2885572668</v>
      </c>
      <c r="Y34" s="15">
        <f t="shared" si="11"/>
        <v>6262408.4747845503</v>
      </c>
    </row>
    <row r="36" spans="2:25" x14ac:dyDescent="0.25">
      <c r="C36" s="14"/>
      <c r="D36" s="14"/>
      <c r="E36" s="14"/>
      <c r="F36" s="14"/>
      <c r="G36" s="14"/>
      <c r="H36" s="14"/>
      <c r="I36" s="14"/>
      <c r="J36" s="14"/>
      <c r="K36" s="14"/>
      <c r="L36" s="14"/>
      <c r="M36" s="14"/>
      <c r="N36" s="14"/>
      <c r="O36" s="14"/>
      <c r="P36" s="14"/>
      <c r="Q36" s="14"/>
    </row>
    <row r="37" spans="2:25" x14ac:dyDescent="0.25">
      <c r="C37" s="13"/>
    </row>
  </sheetData>
  <mergeCells count="1">
    <mergeCell ref="B3:Q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5:J28"/>
  <sheetViews>
    <sheetView showGridLines="0" workbookViewId="0">
      <selection activeCell="C25" sqref="C25"/>
    </sheetView>
  </sheetViews>
  <sheetFormatPr baseColWidth="10" defaultColWidth="11.42578125" defaultRowHeight="15" x14ac:dyDescent="0.25"/>
  <cols>
    <col min="1" max="1" width="4.42578125" bestFit="1" customWidth="1"/>
    <col min="2" max="2" width="14.85546875" customWidth="1"/>
    <col min="3" max="3" width="54.140625" bestFit="1" customWidth="1"/>
    <col min="4" max="4" width="11.42578125" customWidth="1"/>
    <col min="5" max="5" width="8.140625" bestFit="1" customWidth="1"/>
    <col min="6" max="6" width="12.28515625" bestFit="1" customWidth="1"/>
    <col min="7" max="7" width="10.42578125" bestFit="1" customWidth="1"/>
    <col min="8" max="8" width="47.42578125" customWidth="1"/>
    <col min="9" max="9" width="24.85546875" customWidth="1"/>
    <col min="10" max="10" width="16.42578125" bestFit="1" customWidth="1"/>
  </cols>
  <sheetData>
    <row r="5" spans="1:10" ht="15.75" x14ac:dyDescent="0.25">
      <c r="A5" s="144" t="s">
        <v>88</v>
      </c>
      <c r="B5" s="144"/>
      <c r="C5" s="144"/>
      <c r="D5" s="144"/>
      <c r="E5" s="144"/>
      <c r="F5" s="144"/>
      <c r="G5" s="144"/>
      <c r="H5" s="144"/>
      <c r="I5" s="144"/>
      <c r="J5" s="144"/>
    </row>
    <row r="6" spans="1:10" x14ac:dyDescent="0.25">
      <c r="A6" s="67" t="s">
        <v>87</v>
      </c>
      <c r="B6" s="67" t="s">
        <v>1</v>
      </c>
      <c r="C6" s="67" t="s">
        <v>2</v>
      </c>
      <c r="D6" s="67" t="s">
        <v>3</v>
      </c>
      <c r="E6" s="67" t="s">
        <v>4</v>
      </c>
      <c r="F6" s="67" t="s">
        <v>5</v>
      </c>
      <c r="G6" s="67" t="s">
        <v>32</v>
      </c>
      <c r="H6" s="67" t="s">
        <v>101</v>
      </c>
      <c r="I6" s="67" t="s">
        <v>6</v>
      </c>
      <c r="J6" s="67" t="s">
        <v>34</v>
      </c>
    </row>
    <row r="7" spans="1:10" x14ac:dyDescent="0.25">
      <c r="A7" s="5">
        <v>1</v>
      </c>
      <c r="B7" s="68" t="s">
        <v>33</v>
      </c>
      <c r="C7" s="69" t="s">
        <v>102</v>
      </c>
      <c r="D7" s="5" t="s">
        <v>18</v>
      </c>
      <c r="E7" s="5">
        <v>3</v>
      </c>
      <c r="F7" s="5">
        <v>1</v>
      </c>
      <c r="G7" s="5">
        <f>F7*E7</f>
        <v>3</v>
      </c>
      <c r="H7" s="69" t="s">
        <v>103</v>
      </c>
      <c r="I7" s="5" t="str">
        <f t="shared" ref="I7:I18" si="0">+B7</f>
        <v>Inversión</v>
      </c>
      <c r="J7" s="70">
        <f>+IF(H7="Sobrecostos",((G7/$C$27)*$C$23),((G7/$C$28)*$C$25))</f>
        <v>1849432.7563161468</v>
      </c>
    </row>
    <row r="8" spans="1:10" x14ac:dyDescent="0.25">
      <c r="A8" s="5">
        <v>2</v>
      </c>
      <c r="B8" s="68" t="s">
        <v>33</v>
      </c>
      <c r="C8" s="69" t="s">
        <v>104</v>
      </c>
      <c r="D8" s="5" t="s">
        <v>18</v>
      </c>
      <c r="E8" s="5">
        <v>3</v>
      </c>
      <c r="F8" s="5">
        <v>1</v>
      </c>
      <c r="G8" s="5">
        <f t="shared" ref="G8:G19" si="1">F8*E8</f>
        <v>3</v>
      </c>
      <c r="H8" s="69" t="s">
        <v>103</v>
      </c>
      <c r="I8" s="5" t="str">
        <f t="shared" si="0"/>
        <v>Inversión</v>
      </c>
      <c r="J8" s="70">
        <f>+IF(H8="Sobrecostos",((G8/$C$27)*$C$23),((G8/$C$28)*$C$25))</f>
        <v>1849432.7563161468</v>
      </c>
    </row>
    <row r="9" spans="1:10" x14ac:dyDescent="0.25">
      <c r="A9" s="5">
        <v>3</v>
      </c>
      <c r="B9" s="68" t="s">
        <v>33</v>
      </c>
      <c r="C9" s="69" t="s">
        <v>105</v>
      </c>
      <c r="D9" s="5" t="s">
        <v>18</v>
      </c>
      <c r="E9" s="5">
        <v>3</v>
      </c>
      <c r="F9" s="5">
        <v>1</v>
      </c>
      <c r="G9" s="5">
        <f t="shared" si="1"/>
        <v>3</v>
      </c>
      <c r="H9" s="69" t="s">
        <v>103</v>
      </c>
      <c r="I9" s="5" t="str">
        <f t="shared" si="0"/>
        <v>Inversión</v>
      </c>
      <c r="J9" s="70">
        <f>+IF(H9="Sobrecostos",((G9/$C$27)*$C$23),((G9/$C$28)*$C$25))</f>
        <v>1849432.7563161468</v>
      </c>
    </row>
    <row r="10" spans="1:10" x14ac:dyDescent="0.25">
      <c r="A10" s="5">
        <v>4</v>
      </c>
      <c r="B10" s="68" t="s">
        <v>33</v>
      </c>
      <c r="C10" s="69" t="s">
        <v>106</v>
      </c>
      <c r="D10" s="5" t="s">
        <v>18</v>
      </c>
      <c r="E10" s="5">
        <v>4</v>
      </c>
      <c r="F10" s="5">
        <v>2</v>
      </c>
      <c r="G10" s="5">
        <f t="shared" si="1"/>
        <v>8</v>
      </c>
      <c r="H10" s="69" t="s">
        <v>103</v>
      </c>
      <c r="I10" s="5" t="str">
        <f t="shared" si="0"/>
        <v>Inversión</v>
      </c>
      <c r="J10" s="70">
        <f>+IF(H10="Sobrecostos",((G10/$C$27)*$C$23),((G10/$C$28)*$C$25))</f>
        <v>4931820.6835097251</v>
      </c>
    </row>
    <row r="11" spans="1:10" x14ac:dyDescent="0.25">
      <c r="A11" s="5">
        <v>4</v>
      </c>
      <c r="B11" s="68" t="s">
        <v>33</v>
      </c>
      <c r="C11" s="69" t="s">
        <v>106</v>
      </c>
      <c r="D11" s="5" t="s">
        <v>18</v>
      </c>
      <c r="E11" s="5">
        <v>4</v>
      </c>
      <c r="F11" s="5">
        <v>2</v>
      </c>
      <c r="G11" s="5">
        <f t="shared" ref="G11" si="2">F11*E11</f>
        <v>8</v>
      </c>
      <c r="H11" s="69" t="s">
        <v>112</v>
      </c>
      <c r="I11" s="5" t="str">
        <f t="shared" si="0"/>
        <v>Inversión</v>
      </c>
      <c r="J11" s="70">
        <f>+IF(H11="Sobrecostos",((G11/$C$27)*$C$23),((G11/$C$28)*$C$25))</f>
        <v>9424236.7740426511</v>
      </c>
    </row>
    <row r="12" spans="1:10" x14ac:dyDescent="0.25">
      <c r="A12" s="5">
        <v>5</v>
      </c>
      <c r="B12" s="68" t="s">
        <v>15</v>
      </c>
      <c r="C12" s="69" t="s">
        <v>107</v>
      </c>
      <c r="D12" s="5" t="s">
        <v>18</v>
      </c>
      <c r="E12" s="5">
        <v>3</v>
      </c>
      <c r="F12" s="5">
        <v>1</v>
      </c>
      <c r="G12" s="5">
        <f t="shared" si="1"/>
        <v>3</v>
      </c>
      <c r="H12" s="69" t="s">
        <v>103</v>
      </c>
      <c r="I12" s="5" t="str">
        <f t="shared" si="0"/>
        <v>Operación</v>
      </c>
      <c r="J12" s="70">
        <f>+IF(H12="Sobrecostos",((G12/$C$27)*$C$24),((G12/$C$28)*$C$25))</f>
        <v>183304.50051735161</v>
      </c>
    </row>
    <row r="13" spans="1:10" x14ac:dyDescent="0.25">
      <c r="A13" s="5">
        <v>6</v>
      </c>
      <c r="B13" s="68" t="s">
        <v>15</v>
      </c>
      <c r="C13" s="69" t="s">
        <v>108</v>
      </c>
      <c r="D13" s="5" t="s">
        <v>17</v>
      </c>
      <c r="E13" s="5">
        <v>2</v>
      </c>
      <c r="F13" s="5">
        <v>1</v>
      </c>
      <c r="G13" s="5">
        <f t="shared" si="1"/>
        <v>2</v>
      </c>
      <c r="H13" s="69" t="s">
        <v>103</v>
      </c>
      <c r="I13" s="5" t="str">
        <f t="shared" si="0"/>
        <v>Operación</v>
      </c>
      <c r="J13" s="70">
        <f t="shared" ref="J13:J19" si="3">+IF(H13="Sobrecostos",((G13/$C$27)*$C$23),((G13/$C$28)*$C$25))</f>
        <v>1232955.1708774313</v>
      </c>
    </row>
    <row r="14" spans="1:10" x14ac:dyDescent="0.25">
      <c r="A14" s="5">
        <v>6</v>
      </c>
      <c r="B14" s="68" t="s">
        <v>15</v>
      </c>
      <c r="C14" s="69" t="s">
        <v>108</v>
      </c>
      <c r="D14" s="5" t="s">
        <v>17</v>
      </c>
      <c r="E14" s="5">
        <v>2</v>
      </c>
      <c r="F14" s="5">
        <v>1</v>
      </c>
      <c r="G14" s="5">
        <f t="shared" ref="G14" si="4">F14*E14</f>
        <v>2</v>
      </c>
      <c r="H14" s="69" t="s">
        <v>112</v>
      </c>
      <c r="I14" s="5" t="str">
        <f t="shared" si="0"/>
        <v>Operación</v>
      </c>
      <c r="J14" s="70">
        <f t="shared" si="3"/>
        <v>2356059.1935106628</v>
      </c>
    </row>
    <row r="15" spans="1:10" x14ac:dyDescent="0.25">
      <c r="A15" s="5">
        <v>7</v>
      </c>
      <c r="B15" s="68" t="s">
        <v>15</v>
      </c>
      <c r="C15" s="69" t="s">
        <v>109</v>
      </c>
      <c r="D15" s="5" t="s">
        <v>17</v>
      </c>
      <c r="E15" s="5">
        <v>2</v>
      </c>
      <c r="F15" s="5">
        <v>1</v>
      </c>
      <c r="G15" s="5">
        <f t="shared" si="1"/>
        <v>2</v>
      </c>
      <c r="H15" s="69" t="s">
        <v>103</v>
      </c>
      <c r="I15" s="5" t="str">
        <f t="shared" si="0"/>
        <v>Operación</v>
      </c>
      <c r="J15" s="70">
        <f t="shared" si="3"/>
        <v>1232955.1708774313</v>
      </c>
    </row>
    <row r="16" spans="1:10" x14ac:dyDescent="0.25">
      <c r="A16" s="5">
        <v>7</v>
      </c>
      <c r="B16" s="68" t="s">
        <v>15</v>
      </c>
      <c r="C16" s="69" t="s">
        <v>109</v>
      </c>
      <c r="D16" s="5" t="s">
        <v>17</v>
      </c>
      <c r="E16" s="5">
        <v>2</v>
      </c>
      <c r="F16" s="5">
        <v>1</v>
      </c>
      <c r="G16" s="5">
        <f t="shared" ref="G16" si="5">F16*E16</f>
        <v>2</v>
      </c>
      <c r="H16" s="69" t="s">
        <v>112</v>
      </c>
      <c r="I16" s="5" t="str">
        <f t="shared" si="0"/>
        <v>Operación</v>
      </c>
      <c r="J16" s="70">
        <f t="shared" si="3"/>
        <v>2356059.1935106628</v>
      </c>
    </row>
    <row r="17" spans="1:10" x14ac:dyDescent="0.25">
      <c r="A17" s="5">
        <v>8</v>
      </c>
      <c r="B17" s="68" t="s">
        <v>15</v>
      </c>
      <c r="C17" s="69" t="s">
        <v>110</v>
      </c>
      <c r="D17" s="5" t="s">
        <v>17</v>
      </c>
      <c r="E17" s="5">
        <v>3</v>
      </c>
      <c r="F17" s="5">
        <v>1</v>
      </c>
      <c r="G17" s="5">
        <f t="shared" si="1"/>
        <v>3</v>
      </c>
      <c r="H17" s="69" t="s">
        <v>103</v>
      </c>
      <c r="I17" s="5" t="str">
        <f t="shared" si="0"/>
        <v>Operación</v>
      </c>
      <c r="J17" s="70">
        <f t="shared" si="3"/>
        <v>1849432.7563161468</v>
      </c>
    </row>
    <row r="18" spans="1:10" x14ac:dyDescent="0.25">
      <c r="A18" s="5">
        <v>8</v>
      </c>
      <c r="B18" s="68" t="s">
        <v>15</v>
      </c>
      <c r="C18" s="69" t="s">
        <v>110</v>
      </c>
      <c r="D18" s="5" t="s">
        <v>17</v>
      </c>
      <c r="E18" s="5">
        <v>3</v>
      </c>
      <c r="F18" s="5">
        <v>1</v>
      </c>
      <c r="G18" s="5">
        <f t="shared" ref="G18" si="6">F18*E18</f>
        <v>3</v>
      </c>
      <c r="H18" s="69" t="s">
        <v>112</v>
      </c>
      <c r="I18" s="5" t="str">
        <f t="shared" si="0"/>
        <v>Operación</v>
      </c>
      <c r="J18" s="70">
        <f t="shared" si="3"/>
        <v>3534088.7902659941</v>
      </c>
    </row>
    <row r="19" spans="1:10" x14ac:dyDescent="0.25">
      <c r="A19" s="5">
        <v>9</v>
      </c>
      <c r="B19" s="68" t="s">
        <v>15</v>
      </c>
      <c r="C19" s="69" t="s">
        <v>111</v>
      </c>
      <c r="D19" s="5" t="s">
        <v>19</v>
      </c>
      <c r="E19" s="5">
        <v>3</v>
      </c>
      <c r="F19" s="5">
        <v>2</v>
      </c>
      <c r="G19" s="5">
        <f t="shared" si="1"/>
        <v>6</v>
      </c>
      <c r="H19" s="69" t="s">
        <v>112</v>
      </c>
      <c r="I19" s="5" t="str">
        <f>+B19</f>
        <v>Operación</v>
      </c>
      <c r="J19" s="70">
        <f t="shared" si="3"/>
        <v>7068177.5805319883</v>
      </c>
    </row>
    <row r="20" spans="1:10" x14ac:dyDescent="0.25">
      <c r="J20" s="40">
        <f>+SUM(J7:J19)</f>
        <v>39717388.082908481</v>
      </c>
    </row>
    <row r="21" spans="1:10" x14ac:dyDescent="0.25">
      <c r="B21" s="145" t="s">
        <v>89</v>
      </c>
      <c r="C21" s="145"/>
    </row>
    <row r="22" spans="1:10" x14ac:dyDescent="0.25">
      <c r="B22" s="59" t="s">
        <v>87</v>
      </c>
      <c r="C22" s="59" t="s">
        <v>81</v>
      </c>
    </row>
    <row r="23" spans="1:10" x14ac:dyDescent="0.25">
      <c r="B23" s="2" t="s">
        <v>156</v>
      </c>
      <c r="C23" s="99">
        <f>+'Flujo Proyecto'!C36</f>
        <v>16644894.806845322</v>
      </c>
    </row>
    <row r="24" spans="1:10" x14ac:dyDescent="0.25">
      <c r="B24" s="2" t="s">
        <v>15</v>
      </c>
      <c r="C24" s="99">
        <f>+'Flujo Proyecto'!C37</f>
        <v>1649740.5046561647</v>
      </c>
    </row>
    <row r="25" spans="1:10" x14ac:dyDescent="0.25">
      <c r="B25" s="2" t="s">
        <v>90</v>
      </c>
      <c r="C25" s="99">
        <f>+'Flujo Proyecto'!C29</f>
        <v>24738621.531861961</v>
      </c>
      <c r="F25" s="100"/>
    </row>
    <row r="27" spans="1:10" ht="27" customHeight="1" x14ac:dyDescent="0.25">
      <c r="B27" s="97" t="s">
        <v>126</v>
      </c>
      <c r="C27" s="98">
        <f>+SUMIF(H7:H19,"Sobrecostos",G7:G19)</f>
        <v>27</v>
      </c>
    </row>
    <row r="28" spans="1:10" ht="45" x14ac:dyDescent="0.25">
      <c r="B28" s="97" t="s">
        <v>127</v>
      </c>
      <c r="C28" s="98">
        <f>+SUMIF(H7:H19,"Disminución de Ingresos",G7:G19)</f>
        <v>21</v>
      </c>
    </row>
  </sheetData>
  <mergeCells count="2">
    <mergeCell ref="A5:J5"/>
    <mergeCell ref="B21:C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2"/>
  <sheetViews>
    <sheetView workbookViewId="0">
      <selection activeCell="B2" sqref="B2:H12"/>
    </sheetView>
  </sheetViews>
  <sheetFormatPr baseColWidth="10" defaultColWidth="11.42578125" defaultRowHeight="15" x14ac:dyDescent="0.25"/>
  <cols>
    <col min="2" max="2" width="4.42578125" bestFit="1" customWidth="1"/>
    <col min="3" max="3" width="63" bestFit="1" customWidth="1"/>
    <col min="4" max="4" width="8.140625" bestFit="1" customWidth="1"/>
    <col min="5" max="5" width="12.28515625" bestFit="1" customWidth="1"/>
    <col min="6" max="6" width="10.42578125" bestFit="1" customWidth="1"/>
    <col min="7" max="7" width="14.28515625" customWidth="1"/>
    <col min="8" max="8" width="16.42578125" bestFit="1" customWidth="1"/>
  </cols>
  <sheetData>
    <row r="2" spans="2:8" ht="30" x14ac:dyDescent="0.25">
      <c r="B2" s="44" t="s">
        <v>0</v>
      </c>
      <c r="C2" s="44" t="s">
        <v>2</v>
      </c>
      <c r="D2" s="44" t="s">
        <v>4</v>
      </c>
      <c r="E2" s="44" t="s">
        <v>5</v>
      </c>
      <c r="F2" s="44" t="s">
        <v>32</v>
      </c>
      <c r="G2" s="46" t="s">
        <v>6</v>
      </c>
      <c r="H2" s="44" t="s">
        <v>34</v>
      </c>
    </row>
    <row r="3" spans="2:8" x14ac:dyDescent="0.25">
      <c r="B3" s="32">
        <v>1</v>
      </c>
      <c r="C3" s="2" t="s">
        <v>7</v>
      </c>
      <c r="D3" s="2">
        <v>1</v>
      </c>
      <c r="E3" s="2">
        <v>3</v>
      </c>
      <c r="F3" s="2">
        <v>3</v>
      </c>
      <c r="G3" s="2" t="s">
        <v>15</v>
      </c>
      <c r="H3" s="45">
        <v>810523.47152542381</v>
      </c>
    </row>
    <row r="4" spans="2:8" x14ac:dyDescent="0.25">
      <c r="B4" s="32">
        <v>2</v>
      </c>
      <c r="C4" s="2" t="s">
        <v>8</v>
      </c>
      <c r="D4" s="2">
        <v>3</v>
      </c>
      <c r="E4" s="2">
        <v>1</v>
      </c>
      <c r="F4" s="2">
        <v>3</v>
      </c>
      <c r="G4" s="2" t="s">
        <v>33</v>
      </c>
      <c r="H4" s="45">
        <v>1150051.3919938365</v>
      </c>
    </row>
    <row r="5" spans="2:8" x14ac:dyDescent="0.25">
      <c r="B5" s="32">
        <v>3</v>
      </c>
      <c r="C5" s="2" t="s">
        <v>9</v>
      </c>
      <c r="D5" s="2">
        <v>3</v>
      </c>
      <c r="E5" s="2">
        <v>2</v>
      </c>
      <c r="F5" s="2">
        <v>6</v>
      </c>
      <c r="G5" s="2" t="s">
        <v>15</v>
      </c>
      <c r="H5" s="45">
        <v>1621046.9430508476</v>
      </c>
    </row>
    <row r="6" spans="2:8" x14ac:dyDescent="0.25">
      <c r="B6" s="32">
        <v>4</v>
      </c>
      <c r="C6" s="2" t="s">
        <v>10</v>
      </c>
      <c r="D6" s="2">
        <v>4</v>
      </c>
      <c r="E6" s="2">
        <v>3</v>
      </c>
      <c r="F6" s="2">
        <v>12</v>
      </c>
      <c r="G6" s="2" t="s">
        <v>15</v>
      </c>
      <c r="H6" s="45">
        <v>3242093.8861016952</v>
      </c>
    </row>
    <row r="7" spans="2:8" x14ac:dyDescent="0.25">
      <c r="B7" s="32">
        <v>5</v>
      </c>
      <c r="C7" s="2" t="s">
        <v>20</v>
      </c>
      <c r="D7" s="2">
        <v>2</v>
      </c>
      <c r="E7" s="2">
        <v>3</v>
      </c>
      <c r="F7" s="2">
        <v>6</v>
      </c>
      <c r="G7" s="2" t="s">
        <v>15</v>
      </c>
      <c r="H7" s="45">
        <v>1621046.9430508476</v>
      </c>
    </row>
    <row r="8" spans="2:8" x14ac:dyDescent="0.25">
      <c r="B8" s="32">
        <v>6</v>
      </c>
      <c r="C8" s="2" t="s">
        <v>16</v>
      </c>
      <c r="D8" s="2">
        <v>4</v>
      </c>
      <c r="E8" s="2">
        <v>2</v>
      </c>
      <c r="F8" s="2">
        <v>8</v>
      </c>
      <c r="G8" s="2" t="s">
        <v>15</v>
      </c>
      <c r="H8" s="45">
        <v>2161395.9240677967</v>
      </c>
    </row>
    <row r="9" spans="2:8" x14ac:dyDescent="0.25">
      <c r="B9" s="32">
        <v>7</v>
      </c>
      <c r="C9" s="2" t="s">
        <v>11</v>
      </c>
      <c r="D9" s="2">
        <v>5</v>
      </c>
      <c r="E9" s="2">
        <v>1</v>
      </c>
      <c r="F9" s="2">
        <v>5</v>
      </c>
      <c r="G9" s="2" t="s">
        <v>15</v>
      </c>
      <c r="H9" s="45">
        <v>1350872.4525423727</v>
      </c>
    </row>
    <row r="10" spans="2:8" x14ac:dyDescent="0.25">
      <c r="B10" s="32">
        <v>8</v>
      </c>
      <c r="C10" s="2" t="s">
        <v>12</v>
      </c>
      <c r="D10" s="2">
        <v>1</v>
      </c>
      <c r="E10" s="2">
        <v>2</v>
      </c>
      <c r="F10" s="2">
        <v>2</v>
      </c>
      <c r="G10" s="2" t="s">
        <v>15</v>
      </c>
      <c r="H10" s="45">
        <v>540348.98101694917</v>
      </c>
    </row>
    <row r="11" spans="2:8" x14ac:dyDescent="0.25">
      <c r="B11" s="32">
        <v>9</v>
      </c>
      <c r="C11" s="2" t="s">
        <v>13</v>
      </c>
      <c r="D11" s="2">
        <v>2</v>
      </c>
      <c r="E11" s="2">
        <v>4</v>
      </c>
      <c r="F11" s="2">
        <v>8</v>
      </c>
      <c r="G11" s="2" t="s">
        <v>33</v>
      </c>
      <c r="H11" s="45">
        <v>3066803.7119835634</v>
      </c>
    </row>
    <row r="12" spans="2:8" x14ac:dyDescent="0.25">
      <c r="B12" s="32">
        <v>10</v>
      </c>
      <c r="C12" s="2" t="s">
        <v>14</v>
      </c>
      <c r="D12" s="2">
        <v>3</v>
      </c>
      <c r="E12" s="2">
        <v>2</v>
      </c>
      <c r="F12" s="2">
        <v>6</v>
      </c>
      <c r="G12" s="2" t="s">
        <v>15</v>
      </c>
      <c r="H12" s="45">
        <v>1621046.9430508476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B5:K25"/>
  <sheetViews>
    <sheetView showGridLines="0" zoomScaleNormal="100" workbookViewId="0">
      <selection activeCell="C25" sqref="C25"/>
    </sheetView>
  </sheetViews>
  <sheetFormatPr baseColWidth="10" defaultColWidth="11.42578125" defaultRowHeight="15" x14ac:dyDescent="0.25"/>
  <cols>
    <col min="2" max="2" width="31.5703125" bestFit="1" customWidth="1"/>
    <col min="3" max="3" width="22.42578125" bestFit="1" customWidth="1"/>
    <col min="5" max="5" width="31.5703125" bestFit="1" customWidth="1"/>
    <col min="6" max="6" width="19.140625" customWidth="1"/>
    <col min="9" max="9" width="15.5703125" bestFit="1" customWidth="1"/>
    <col min="11" max="11" width="15.5703125" hidden="1" customWidth="1"/>
  </cols>
  <sheetData>
    <row r="5" spans="2:11" x14ac:dyDescent="0.25">
      <c r="B5" s="146" t="s">
        <v>38</v>
      </c>
      <c r="C5" s="146"/>
      <c r="E5" s="146" t="s">
        <v>40</v>
      </c>
      <c r="F5" s="146"/>
      <c r="H5" s="146" t="s">
        <v>80</v>
      </c>
      <c r="I5" s="146"/>
    </row>
    <row r="6" spans="2:11" x14ac:dyDescent="0.25">
      <c r="B6" s="6" t="s">
        <v>36</v>
      </c>
      <c r="C6" s="6" t="s">
        <v>33</v>
      </c>
      <c r="E6" s="6" t="s">
        <v>36</v>
      </c>
      <c r="F6" s="6" t="s">
        <v>33</v>
      </c>
      <c r="H6" s="6" t="s">
        <v>3</v>
      </c>
      <c r="I6" s="6" t="s">
        <v>81</v>
      </c>
    </row>
    <row r="7" spans="2:11" x14ac:dyDescent="0.25">
      <c r="B7" s="5" t="s">
        <v>33</v>
      </c>
      <c r="C7" s="4">
        <f>-SUM('Flujo Proyecto'!C9:M9)</f>
        <v>-19757138.959999997</v>
      </c>
      <c r="E7" s="5" t="s">
        <v>33</v>
      </c>
      <c r="F7" s="4">
        <f>+C7</f>
        <v>-19757138.959999997</v>
      </c>
      <c r="H7" s="2" t="s">
        <v>17</v>
      </c>
      <c r="I7" s="40">
        <f>+SUMIF(Riesgos!D7:D19,"Compartido",Riesgos!J$7:J$19)</f>
        <v>12561550.275358329</v>
      </c>
      <c r="K7">
        <f>8129</f>
        <v>8129</v>
      </c>
    </row>
    <row r="8" spans="2:11" x14ac:dyDescent="0.25">
      <c r="B8" s="5" t="s">
        <v>128</v>
      </c>
      <c r="C8" s="4">
        <f>-SUM('Flujo Proyecto'!C10:M10)</f>
        <v>-3109679.926</v>
      </c>
      <c r="E8" s="5" t="s">
        <v>128</v>
      </c>
      <c r="F8" s="4">
        <f>+C8</f>
        <v>-3109679.926</v>
      </c>
      <c r="H8" s="2" t="s">
        <v>19</v>
      </c>
      <c r="I8" s="40">
        <f>+SUMIF(Riesgos!D7:D19,"Retenido",Riesgos!J$7:J$19)</f>
        <v>7068177.5805319883</v>
      </c>
      <c r="K8">
        <f>SUM('[1]Flujo de caja Operacion SI'!$D$20:$O$20)</f>
        <v>8129110.3170038667</v>
      </c>
    </row>
    <row r="9" spans="2:11" x14ac:dyDescent="0.25">
      <c r="B9" s="5" t="s">
        <v>90</v>
      </c>
      <c r="C9" s="4">
        <f>+SUM('Flujo Proyecto'!$C$7:$M$7)</f>
        <v>45763918.714824282</v>
      </c>
      <c r="E9" s="5" t="s">
        <v>129</v>
      </c>
      <c r="F9" s="4">
        <f>-SUM('Flujo Proyecto'!C11:M11)</f>
        <v>-4005999.8099999991</v>
      </c>
      <c r="H9" s="2" t="s">
        <v>18</v>
      </c>
      <c r="I9" s="40">
        <f>+SUMIF(Riesgos!D7:D19,"Transferido",Riesgos!J$7:J$19)</f>
        <v>20087660.22701817</v>
      </c>
      <c r="K9" s="43">
        <f>K8/SUM(F7:F9)</f>
        <v>-0.30250307602506471</v>
      </c>
    </row>
    <row r="10" spans="2:11" x14ac:dyDescent="0.25">
      <c r="B10" s="5"/>
      <c r="C10" s="4"/>
      <c r="E10" s="9" t="s">
        <v>90</v>
      </c>
      <c r="F10" s="10">
        <f>+SUM('Flujo Proyecto'!C7:M7)</f>
        <v>45763918.714824282</v>
      </c>
    </row>
    <row r="11" spans="2:11" x14ac:dyDescent="0.25">
      <c r="B11" s="5"/>
      <c r="C11" s="4"/>
      <c r="E11" s="2"/>
      <c r="F11" s="2"/>
    </row>
    <row r="12" spans="2:11" x14ac:dyDescent="0.25">
      <c r="B12" s="5"/>
      <c r="C12" s="4"/>
      <c r="E12" s="11" t="s">
        <v>37</v>
      </c>
      <c r="F12" s="12">
        <f>SUM(F7:F10)</f>
        <v>18891100.018824287</v>
      </c>
    </row>
    <row r="13" spans="2:11" x14ac:dyDescent="0.25">
      <c r="B13" s="7" t="s">
        <v>39</v>
      </c>
      <c r="C13" s="8">
        <f>SUM(C7:C12)</f>
        <v>22897099.828824285</v>
      </c>
      <c r="E13" s="39" t="s">
        <v>41</v>
      </c>
      <c r="F13" s="42">
        <f>+NPV('[1]FLUJO PROYECTO'!$C$22,'Flujo Proyecto'!C27:M27)</f>
        <v>3506670.6316528725</v>
      </c>
    </row>
    <row r="14" spans="2:11" x14ac:dyDescent="0.25">
      <c r="B14" s="39" t="s">
        <v>41</v>
      </c>
      <c r="C14" s="41">
        <f>+NPV('[1]FLUJO PROYECTO'!$C$22,'Flujo Proyecto'!C26:M26)</f>
        <v>5658715.743787773</v>
      </c>
    </row>
    <row r="22" spans="2:3" x14ac:dyDescent="0.25">
      <c r="B22" s="1" t="s">
        <v>35</v>
      </c>
      <c r="C22" s="60">
        <f>C14+I9+I7</f>
        <v>38307926.24616427</v>
      </c>
    </row>
    <row r="23" spans="2:3" x14ac:dyDescent="0.25">
      <c r="B23" s="1" t="s">
        <v>82</v>
      </c>
      <c r="C23" s="60">
        <f>F13+I8+I7</f>
        <v>23136398.487543188</v>
      </c>
    </row>
    <row r="25" spans="2:3" ht="18.75" x14ac:dyDescent="0.3">
      <c r="B25" s="61" t="s">
        <v>83</v>
      </c>
      <c r="C25" s="62">
        <f>C22-C23</f>
        <v>15171527.758621082</v>
      </c>
    </row>
  </sheetData>
  <mergeCells count="3">
    <mergeCell ref="B5:C5"/>
    <mergeCell ref="E5:F5"/>
    <mergeCell ref="H5:I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A2FA-8BA2-4741-B001-FD2E3D7B3FCC}">
  <dimension ref="B4:N37"/>
  <sheetViews>
    <sheetView topLeftCell="A5" workbookViewId="0">
      <selection activeCell="C12" sqref="C12:M12"/>
    </sheetView>
  </sheetViews>
  <sheetFormatPr baseColWidth="10" defaultColWidth="11.42578125" defaultRowHeight="15" x14ac:dyDescent="0.25"/>
  <cols>
    <col min="2" max="2" width="59.28515625" bestFit="1" customWidth="1"/>
    <col min="3" max="3" width="13.7109375" bestFit="1" customWidth="1"/>
    <col min="4" max="4" width="13.28515625" bestFit="1" customWidth="1"/>
    <col min="5" max="5" width="13.5703125" bestFit="1" customWidth="1"/>
    <col min="6" max="13" width="13.28515625" bestFit="1" customWidth="1"/>
    <col min="14" max="14" width="14.28515625" bestFit="1" customWidth="1"/>
  </cols>
  <sheetData>
    <row r="4" spans="2:14" ht="15.75" thickBot="1" x14ac:dyDescent="0.3"/>
    <row r="5" spans="2:14" ht="18.75" x14ac:dyDescent="0.3">
      <c r="B5" s="147" t="s">
        <v>91</v>
      </c>
      <c r="C5" s="148"/>
      <c r="D5" s="148"/>
      <c r="E5" s="148"/>
      <c r="F5" s="148"/>
      <c r="G5" s="148"/>
      <c r="H5" s="148"/>
      <c r="I5" s="148"/>
      <c r="J5" s="148"/>
      <c r="K5" s="148"/>
      <c r="L5" s="148"/>
      <c r="M5" s="148"/>
      <c r="N5" s="149"/>
    </row>
    <row r="6" spans="2:14" x14ac:dyDescent="0.25">
      <c r="B6" s="112"/>
      <c r="C6" s="63">
        <v>2020</v>
      </c>
      <c r="D6" s="63">
        <v>2021</v>
      </c>
      <c r="E6" s="63">
        <v>2022</v>
      </c>
      <c r="F6" s="63">
        <v>2023</v>
      </c>
      <c r="G6" s="63">
        <v>2024</v>
      </c>
      <c r="H6" s="63">
        <v>2025</v>
      </c>
      <c r="I6" s="63">
        <v>2026</v>
      </c>
      <c r="J6" s="63">
        <v>2027</v>
      </c>
      <c r="K6" s="63">
        <v>2028</v>
      </c>
      <c r="L6" s="63">
        <v>2029</v>
      </c>
      <c r="M6" s="63">
        <v>2030</v>
      </c>
      <c r="N6" s="113" t="s">
        <v>39</v>
      </c>
    </row>
    <row r="7" spans="2:14" x14ac:dyDescent="0.25">
      <c r="B7" s="114" t="s">
        <v>92</v>
      </c>
      <c r="C7" s="65">
        <v>0</v>
      </c>
      <c r="D7" s="65">
        <v>4171197.3623487409</v>
      </c>
      <c r="E7" s="65">
        <v>3366547.6402289239</v>
      </c>
      <c r="F7" s="65">
        <v>3875713.0283394093</v>
      </c>
      <c r="G7" s="65">
        <v>4265338.1170667261</v>
      </c>
      <c r="H7" s="65">
        <v>4657917.4627212575</v>
      </c>
      <c r="I7" s="65">
        <v>4796604.4115403462</v>
      </c>
      <c r="J7" s="65">
        <v>4931612.2001644075</v>
      </c>
      <c r="K7" s="65">
        <v>5064605.5452037081</v>
      </c>
      <c r="L7" s="65">
        <v>5370079.2994516212</v>
      </c>
      <c r="M7" s="65">
        <v>5264303.6477591414</v>
      </c>
      <c r="N7" s="116">
        <f>+SUM(C7:M7)</f>
        <v>45763918.714824282</v>
      </c>
    </row>
    <row r="8" spans="2:14" x14ac:dyDescent="0.25">
      <c r="B8" s="112" t="s">
        <v>93</v>
      </c>
      <c r="C8" s="64"/>
      <c r="D8" s="64"/>
      <c r="E8" s="64"/>
      <c r="F8" s="64"/>
      <c r="G8" s="64"/>
      <c r="H8" s="64"/>
      <c r="I8" s="64"/>
      <c r="J8" s="64"/>
      <c r="K8" s="64"/>
      <c r="L8" s="64"/>
      <c r="M8" s="64"/>
      <c r="N8" s="115" t="s">
        <v>39</v>
      </c>
    </row>
    <row r="9" spans="2:14" x14ac:dyDescent="0.25">
      <c r="B9" s="112" t="s">
        <v>94</v>
      </c>
      <c r="C9" s="65">
        <v>2760687.046333333</v>
      </c>
      <c r="D9" s="65">
        <v>8800586.6738333348</v>
      </c>
      <c r="E9" s="65">
        <v>6232809.389833332</v>
      </c>
      <c r="F9" s="65">
        <v>677521.71</v>
      </c>
      <c r="G9" s="65">
        <v>186714.86</v>
      </c>
      <c r="H9" s="65">
        <v>185535.45</v>
      </c>
      <c r="I9" s="65">
        <v>185521.68</v>
      </c>
      <c r="J9" s="65">
        <v>183888.65</v>
      </c>
      <c r="K9" s="65">
        <v>183445.49</v>
      </c>
      <c r="L9" s="65">
        <v>180673</v>
      </c>
      <c r="M9" s="65">
        <v>179755.01</v>
      </c>
      <c r="N9" s="116">
        <f t="shared" ref="N9:N14" si="0">+SUM(C9:M9)</f>
        <v>19757138.959999997</v>
      </c>
    </row>
    <row r="10" spans="2:14" x14ac:dyDescent="0.25">
      <c r="B10" s="112" t="s">
        <v>95</v>
      </c>
      <c r="C10" s="65">
        <v>0</v>
      </c>
      <c r="D10" s="65">
        <v>61525.412199999999</v>
      </c>
      <c r="E10" s="65">
        <v>312017.16819999996</v>
      </c>
      <c r="F10" s="65">
        <v>342017.16819999996</v>
      </c>
      <c r="G10" s="65">
        <v>342017.16819999996</v>
      </c>
      <c r="H10" s="65">
        <v>342017.16819999996</v>
      </c>
      <c r="I10" s="65">
        <v>342017.16819999996</v>
      </c>
      <c r="J10" s="65">
        <v>342017.16819999996</v>
      </c>
      <c r="K10" s="65">
        <v>342017.16819999996</v>
      </c>
      <c r="L10" s="65">
        <v>342017.16819999996</v>
      </c>
      <c r="M10" s="65">
        <v>342017.16819999996</v>
      </c>
      <c r="N10" s="116">
        <f t="shared" si="0"/>
        <v>3109679.926</v>
      </c>
    </row>
    <row r="11" spans="2:14" x14ac:dyDescent="0.25">
      <c r="B11" s="112" t="s">
        <v>96</v>
      </c>
      <c r="C11" s="65">
        <v>364181.8009090909</v>
      </c>
      <c r="D11" s="65">
        <v>364181.8009090909</v>
      </c>
      <c r="E11" s="65">
        <v>364181.8009090909</v>
      </c>
      <c r="F11" s="65">
        <v>364181.8009090909</v>
      </c>
      <c r="G11" s="65">
        <v>364181.8009090909</v>
      </c>
      <c r="H11" s="65">
        <v>364181.8009090909</v>
      </c>
      <c r="I11" s="65">
        <v>364181.8009090909</v>
      </c>
      <c r="J11" s="65">
        <v>364181.8009090909</v>
      </c>
      <c r="K11" s="65">
        <v>364181.8009090909</v>
      </c>
      <c r="L11" s="65">
        <v>364181.8009090909</v>
      </c>
      <c r="M11" s="65">
        <v>364181.8009090909</v>
      </c>
      <c r="N11" s="116">
        <f t="shared" si="0"/>
        <v>4005999.8099999991</v>
      </c>
    </row>
    <row r="12" spans="2:14" x14ac:dyDescent="0.25">
      <c r="B12" s="112" t="s">
        <v>39</v>
      </c>
      <c r="C12" s="65">
        <f>+SUM(C9:C11)</f>
        <v>3124868.8472424238</v>
      </c>
      <c r="D12" s="65">
        <f t="shared" ref="D12:M12" si="1">+SUM(D9:D11)</f>
        <v>9226293.8869424257</v>
      </c>
      <c r="E12" s="65">
        <f t="shared" si="1"/>
        <v>6909008.358942423</v>
      </c>
      <c r="F12" s="65">
        <f t="shared" si="1"/>
        <v>1383720.6791090909</v>
      </c>
      <c r="G12" s="65">
        <f t="shared" si="1"/>
        <v>892913.82910909085</v>
      </c>
      <c r="H12" s="65">
        <f t="shared" si="1"/>
        <v>891734.41910909081</v>
      </c>
      <c r="I12" s="65">
        <f t="shared" si="1"/>
        <v>891720.64910909079</v>
      </c>
      <c r="J12" s="65">
        <f t="shared" si="1"/>
        <v>890087.61910909088</v>
      </c>
      <c r="K12" s="65">
        <f t="shared" si="1"/>
        <v>889644.45910909085</v>
      </c>
      <c r="L12" s="65">
        <f t="shared" si="1"/>
        <v>886871.96910909086</v>
      </c>
      <c r="M12" s="65">
        <f t="shared" si="1"/>
        <v>885953.97910909087</v>
      </c>
      <c r="N12" s="116">
        <f t="shared" si="0"/>
        <v>26872818.695999999</v>
      </c>
    </row>
    <row r="13" spans="2:14" x14ac:dyDescent="0.25">
      <c r="B13" s="112"/>
      <c r="C13" s="66"/>
      <c r="D13" s="66"/>
      <c r="E13" s="66"/>
      <c r="F13" s="66"/>
      <c r="G13" s="66"/>
      <c r="H13" s="66"/>
      <c r="I13" s="66"/>
      <c r="J13" s="66"/>
      <c r="K13" s="66"/>
      <c r="L13" s="66"/>
      <c r="M13" s="66"/>
      <c r="N13" s="116">
        <f t="shared" si="0"/>
        <v>0</v>
      </c>
    </row>
    <row r="14" spans="2:14" x14ac:dyDescent="0.25">
      <c r="B14" s="112" t="s">
        <v>97</v>
      </c>
      <c r="C14" s="65">
        <v>100000</v>
      </c>
      <c r="D14" s="21"/>
      <c r="E14" s="21"/>
      <c r="F14" s="21"/>
      <c r="G14" s="21"/>
      <c r="H14" s="21"/>
      <c r="I14" s="21"/>
      <c r="J14" s="21"/>
      <c r="K14" s="21"/>
      <c r="L14" s="21"/>
      <c r="M14" s="21"/>
      <c r="N14" s="116">
        <f t="shared" si="0"/>
        <v>100000</v>
      </c>
    </row>
    <row r="15" spans="2:14" x14ac:dyDescent="0.25">
      <c r="B15" s="118"/>
      <c r="C15" s="21"/>
      <c r="D15" s="21"/>
      <c r="E15" s="21"/>
      <c r="F15" s="21"/>
      <c r="G15" s="21"/>
      <c r="H15" s="21"/>
      <c r="I15" s="21"/>
      <c r="J15" s="21"/>
      <c r="K15" s="21"/>
      <c r="L15" s="21"/>
      <c r="M15" s="21"/>
      <c r="N15" s="117"/>
    </row>
    <row r="16" spans="2:14" x14ac:dyDescent="0.25">
      <c r="B16" s="112"/>
      <c r="C16" s="21"/>
      <c r="D16" s="21"/>
      <c r="E16" s="21"/>
      <c r="F16" s="21"/>
      <c r="G16" s="21"/>
      <c r="H16" s="21"/>
      <c r="I16" s="21"/>
      <c r="J16" s="21"/>
      <c r="K16" s="21"/>
      <c r="L16" s="21"/>
      <c r="M16" s="21"/>
      <c r="N16" s="117"/>
    </row>
    <row r="17" spans="2:14" x14ac:dyDescent="0.25">
      <c r="B17" s="112"/>
      <c r="C17" s="21"/>
      <c r="D17" s="21"/>
      <c r="E17" s="21"/>
      <c r="F17" s="21"/>
      <c r="G17" s="21"/>
      <c r="H17" s="21"/>
      <c r="I17" s="21"/>
      <c r="J17" s="21"/>
      <c r="K17" s="21"/>
      <c r="L17" s="21"/>
      <c r="M17" s="21"/>
      <c r="N17" s="117"/>
    </row>
    <row r="18" spans="2:14" x14ac:dyDescent="0.25">
      <c r="B18" s="112"/>
      <c r="C18" s="21"/>
      <c r="D18" s="21"/>
      <c r="E18" s="21"/>
      <c r="F18" s="21"/>
      <c r="G18" s="21"/>
      <c r="H18" s="21"/>
      <c r="I18" s="21"/>
      <c r="J18" s="21"/>
      <c r="K18" s="21"/>
      <c r="L18" s="21"/>
      <c r="M18" s="21"/>
      <c r="N18" s="117"/>
    </row>
    <row r="19" spans="2:14" x14ac:dyDescent="0.25">
      <c r="B19" s="112"/>
      <c r="C19" s="21"/>
      <c r="D19" s="21"/>
      <c r="E19" s="21"/>
      <c r="F19" s="21"/>
      <c r="G19" s="21"/>
      <c r="H19" s="21"/>
      <c r="I19" s="21"/>
      <c r="J19" s="21"/>
      <c r="K19" s="21"/>
      <c r="L19" s="21"/>
      <c r="M19" s="21"/>
      <c r="N19" s="117"/>
    </row>
    <row r="20" spans="2:14" x14ac:dyDescent="0.25">
      <c r="B20" s="112"/>
      <c r="C20" s="21"/>
      <c r="D20" s="21"/>
      <c r="E20" s="21"/>
      <c r="F20" s="21"/>
      <c r="G20" s="21"/>
      <c r="H20" s="21"/>
      <c r="I20" s="21"/>
      <c r="J20" s="21"/>
      <c r="K20" s="21"/>
      <c r="L20" s="21"/>
      <c r="M20" s="21"/>
      <c r="N20" s="119"/>
    </row>
    <row r="21" spans="2:14" x14ac:dyDescent="0.25">
      <c r="B21" s="112" t="s">
        <v>98</v>
      </c>
      <c r="C21" s="16">
        <f>SUM(C14:C19)+C12</f>
        <v>3224868.8472424238</v>
      </c>
      <c r="D21" s="16">
        <f t="shared" ref="D21:M21" si="2">SUM(D14:D19)+D12</f>
        <v>9226293.8869424257</v>
      </c>
      <c r="E21" s="16">
        <f t="shared" si="2"/>
        <v>6909008.358942423</v>
      </c>
      <c r="F21" s="16">
        <f t="shared" si="2"/>
        <v>1383720.6791090909</v>
      </c>
      <c r="G21" s="16">
        <f t="shared" si="2"/>
        <v>892913.82910909085</v>
      </c>
      <c r="H21" s="16">
        <f t="shared" si="2"/>
        <v>891734.41910909081</v>
      </c>
      <c r="I21" s="16">
        <f t="shared" si="2"/>
        <v>891720.64910909079</v>
      </c>
      <c r="J21" s="16">
        <f t="shared" si="2"/>
        <v>890087.61910909088</v>
      </c>
      <c r="K21" s="16">
        <f t="shared" si="2"/>
        <v>889644.45910909085</v>
      </c>
      <c r="L21" s="16">
        <f t="shared" si="2"/>
        <v>886871.96910909086</v>
      </c>
      <c r="M21" s="16">
        <f t="shared" si="2"/>
        <v>885953.97910909087</v>
      </c>
      <c r="N21" s="120">
        <f>SUM(C21:M21)</f>
        <v>26972818.695999999</v>
      </c>
    </row>
    <row r="22" spans="2:14" ht="15.75" thickBot="1" x14ac:dyDescent="0.3">
      <c r="B22" s="121" t="s">
        <v>99</v>
      </c>
      <c r="C22" s="122">
        <f>C7-C21</f>
        <v>-3224868.8472424238</v>
      </c>
      <c r="D22" s="122">
        <f t="shared" ref="D22:M22" si="3">D7-D21</f>
        <v>-5055096.5245936848</v>
      </c>
      <c r="E22" s="122">
        <f t="shared" si="3"/>
        <v>-3542460.7187134991</v>
      </c>
      <c r="F22" s="122">
        <f t="shared" si="3"/>
        <v>2491992.3492303183</v>
      </c>
      <c r="G22" s="122">
        <f t="shared" si="3"/>
        <v>3372424.2879576352</v>
      </c>
      <c r="H22" s="122">
        <f t="shared" si="3"/>
        <v>3766183.0436121668</v>
      </c>
      <c r="I22" s="122">
        <f t="shared" si="3"/>
        <v>3904883.7624312555</v>
      </c>
      <c r="J22" s="122">
        <f t="shared" si="3"/>
        <v>4041524.5810553166</v>
      </c>
      <c r="K22" s="122">
        <f t="shared" si="3"/>
        <v>4174961.0860946174</v>
      </c>
      <c r="L22" s="122">
        <f t="shared" si="3"/>
        <v>4483207.3303425303</v>
      </c>
      <c r="M22" s="122">
        <f t="shared" si="3"/>
        <v>4378349.6686500506</v>
      </c>
      <c r="N22" s="123">
        <f>SUM(C22:M22)</f>
        <v>18791100.018824279</v>
      </c>
    </row>
    <row r="23" spans="2:14" ht="15.75" thickBot="1" x14ac:dyDescent="0.3">
      <c r="B23" s="124" t="s">
        <v>100</v>
      </c>
      <c r="C23" s="125">
        <f>IRR(C22:M22)</f>
        <v>0.19186685183334817</v>
      </c>
      <c r="D23" s="36"/>
      <c r="E23" s="36"/>
      <c r="F23" s="36"/>
      <c r="G23" s="36"/>
      <c r="H23" s="36"/>
      <c r="I23" s="36"/>
      <c r="J23" s="36"/>
      <c r="K23" s="36"/>
      <c r="L23" s="36"/>
      <c r="M23" s="36"/>
      <c r="N23" s="36"/>
    </row>
    <row r="25" spans="2:14" ht="15.75" thickBot="1" x14ac:dyDescent="0.3"/>
    <row r="26" spans="2:14" x14ac:dyDescent="0.25">
      <c r="B26" s="110" t="s">
        <v>35</v>
      </c>
      <c r="C26" s="108">
        <f>+C7-C9-C10-C14-C15-C16-C17-C19</f>
        <v>-2860687.046333333</v>
      </c>
      <c r="D26" s="104">
        <f t="shared" ref="D26:M26" si="4">+D7-D9-D10-D14-D15-D16-D17</f>
        <v>-4690914.723684594</v>
      </c>
      <c r="E26" s="104">
        <f t="shared" si="4"/>
        <v>-3178278.9178044079</v>
      </c>
      <c r="F26" s="104">
        <f t="shared" si="4"/>
        <v>2856174.1501394091</v>
      </c>
      <c r="G26" s="104">
        <f t="shared" si="4"/>
        <v>3736606.0888667265</v>
      </c>
      <c r="H26" s="104">
        <f t="shared" si="4"/>
        <v>4130364.8445212571</v>
      </c>
      <c r="I26" s="104">
        <f t="shared" si="4"/>
        <v>4269065.5633403463</v>
      </c>
      <c r="J26" s="104">
        <f t="shared" si="4"/>
        <v>4405706.3819644069</v>
      </c>
      <c r="K26" s="104">
        <f t="shared" si="4"/>
        <v>4539142.8870037077</v>
      </c>
      <c r="L26" s="104">
        <f t="shared" si="4"/>
        <v>4847389.1312516211</v>
      </c>
      <c r="M26" s="104">
        <f t="shared" si="4"/>
        <v>4742531.4695591414</v>
      </c>
      <c r="N26" s="105">
        <f>+SUM(C26:M26)</f>
        <v>22797099.828824282</v>
      </c>
    </row>
    <row r="27" spans="2:14" ht="15.75" thickBot="1" x14ac:dyDescent="0.3">
      <c r="B27" s="111" t="s">
        <v>130</v>
      </c>
      <c r="C27" s="109">
        <f>+C7-C12-C14</f>
        <v>-3224868.8472424238</v>
      </c>
      <c r="D27" s="106">
        <f t="shared" ref="D27:N27" si="5">+D7-D12-D14</f>
        <v>-5055096.5245936848</v>
      </c>
      <c r="E27" s="106">
        <f t="shared" si="5"/>
        <v>-3542460.7187134991</v>
      </c>
      <c r="F27" s="106">
        <f t="shared" si="5"/>
        <v>2491992.3492303183</v>
      </c>
      <c r="G27" s="106">
        <f t="shared" si="5"/>
        <v>3372424.2879576352</v>
      </c>
      <c r="H27" s="106">
        <f t="shared" si="5"/>
        <v>3766183.0436121668</v>
      </c>
      <c r="I27" s="106">
        <f t="shared" si="5"/>
        <v>3904883.7624312555</v>
      </c>
      <c r="J27" s="106">
        <f t="shared" si="5"/>
        <v>4041524.5810553166</v>
      </c>
      <c r="K27" s="106">
        <f t="shared" si="5"/>
        <v>4174961.0860946174</v>
      </c>
      <c r="L27" s="106">
        <f t="shared" si="5"/>
        <v>4483207.3303425303</v>
      </c>
      <c r="M27" s="106">
        <f t="shared" si="5"/>
        <v>4378349.6686500506</v>
      </c>
      <c r="N27" s="107">
        <f t="shared" si="5"/>
        <v>18791100.018824283</v>
      </c>
    </row>
    <row r="29" spans="2:14" x14ac:dyDescent="0.25">
      <c r="B29" s="2" t="s">
        <v>151</v>
      </c>
      <c r="C29" s="129">
        <f>NPV(C31,D7:M7)</f>
        <v>24738621.531861961</v>
      </c>
      <c r="E29" s="132"/>
    </row>
    <row r="30" spans="2:14" x14ac:dyDescent="0.25">
      <c r="B30" s="2" t="s">
        <v>152</v>
      </c>
      <c r="C30" s="129">
        <f>NPV(C31,D12:M12)+C12</f>
        <v>20707293.086715918</v>
      </c>
      <c r="E30" s="132"/>
    </row>
    <row r="31" spans="2:14" x14ac:dyDescent="0.25">
      <c r="B31" s="2" t="s">
        <v>121</v>
      </c>
      <c r="C31" s="31">
        <f>+'[1]FLUJO PROYECTO'!$C$22</f>
        <v>0.1211</v>
      </c>
      <c r="E31" s="133"/>
    </row>
    <row r="32" spans="2:14" x14ac:dyDescent="0.25">
      <c r="B32" s="2"/>
      <c r="C32" s="2"/>
      <c r="E32" s="128"/>
    </row>
    <row r="33" spans="2:5" x14ac:dyDescent="0.25">
      <c r="B33" s="2" t="s">
        <v>153</v>
      </c>
      <c r="C33" s="129">
        <f>NPV(C31,D22:M22)+C22</f>
        <v>3931328.4451460377</v>
      </c>
      <c r="E33" s="132"/>
    </row>
    <row r="35" spans="2:5" ht="15.75" thickBot="1" x14ac:dyDescent="0.3"/>
    <row r="36" spans="2:5" x14ac:dyDescent="0.25">
      <c r="B36" s="130" t="s">
        <v>154</v>
      </c>
      <c r="C36" s="134">
        <f>NPV(C31,D9:M9)+C9</f>
        <v>16644894.806845322</v>
      </c>
    </row>
    <row r="37" spans="2:5" ht="15.75" thickBot="1" x14ac:dyDescent="0.3">
      <c r="B37" s="131" t="s">
        <v>155</v>
      </c>
      <c r="C37" s="135">
        <f>NPV(C31,D10:M10)+C10</f>
        <v>1649740.5046561647</v>
      </c>
    </row>
  </sheetData>
  <mergeCells count="1">
    <mergeCell ref="B5:N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D583-F6C5-44C2-AC28-945579E51D1C}">
  <dimension ref="C5:R35"/>
  <sheetViews>
    <sheetView workbookViewId="0">
      <selection activeCell="G31" sqref="G31"/>
    </sheetView>
  </sheetViews>
  <sheetFormatPr baseColWidth="10" defaultColWidth="11.42578125" defaultRowHeight="15" x14ac:dyDescent="0.25"/>
  <cols>
    <col min="3" max="3" width="43.42578125" customWidth="1"/>
    <col min="4" max="4" width="15.85546875" bestFit="1" customWidth="1"/>
  </cols>
  <sheetData>
    <row r="5" spans="3:14" x14ac:dyDescent="0.25">
      <c r="C5" s="150" t="s">
        <v>113</v>
      </c>
      <c r="D5" s="151"/>
      <c r="E5" s="151"/>
      <c r="F5" s="151"/>
      <c r="G5" s="151"/>
      <c r="H5" s="151"/>
      <c r="I5" s="151"/>
      <c r="J5" s="151"/>
      <c r="K5" s="151"/>
      <c r="L5" s="151"/>
      <c r="M5" s="151"/>
      <c r="N5" s="152"/>
    </row>
    <row r="6" spans="3:14" x14ac:dyDescent="0.25">
      <c r="C6" s="2"/>
      <c r="D6" s="2"/>
      <c r="E6" s="2"/>
      <c r="F6" s="2"/>
      <c r="G6" s="2"/>
      <c r="H6" s="2"/>
      <c r="I6" s="2"/>
      <c r="J6" s="2"/>
      <c r="K6" s="2"/>
      <c r="L6" s="2"/>
      <c r="M6" s="2"/>
      <c r="N6" s="2"/>
    </row>
    <row r="7" spans="3:14" x14ac:dyDescent="0.25">
      <c r="C7" s="2" t="s">
        <v>114</v>
      </c>
      <c r="D7" s="31">
        <v>1.83E-2</v>
      </c>
      <c r="E7" s="31"/>
      <c r="F7" s="2" t="s">
        <v>115</v>
      </c>
      <c r="G7" s="2"/>
      <c r="H7" s="2"/>
      <c r="I7" s="2"/>
      <c r="J7" s="2"/>
      <c r="K7" s="2"/>
      <c r="L7" s="2"/>
      <c r="M7" s="2"/>
      <c r="N7" s="2"/>
    </row>
    <row r="8" spans="3:14" x14ac:dyDescent="0.25">
      <c r="C8" s="2" t="s">
        <v>116</v>
      </c>
      <c r="D8" s="71">
        <v>0.1</v>
      </c>
      <c r="E8" s="2"/>
      <c r="F8" s="72" t="s">
        <v>117</v>
      </c>
      <c r="G8" s="2"/>
      <c r="H8" s="2"/>
      <c r="I8" s="2"/>
      <c r="J8" s="2"/>
      <c r="K8" s="2"/>
      <c r="L8" s="2"/>
      <c r="M8" s="2"/>
      <c r="N8" s="2"/>
    </row>
    <row r="9" spans="3:14" x14ac:dyDescent="0.25">
      <c r="C9" s="2" t="s">
        <v>73</v>
      </c>
      <c r="D9" s="2">
        <v>0.32</v>
      </c>
      <c r="E9" s="2"/>
      <c r="F9" s="2" t="s">
        <v>74</v>
      </c>
      <c r="G9" s="2"/>
      <c r="H9" s="2"/>
      <c r="I9" s="2"/>
      <c r="J9" s="2"/>
      <c r="K9" s="2"/>
      <c r="L9" s="2"/>
      <c r="M9" s="2"/>
      <c r="N9" s="2"/>
    </row>
    <row r="10" spans="3:14" x14ac:dyDescent="0.25">
      <c r="C10" s="2" t="s">
        <v>118</v>
      </c>
      <c r="D10" s="31">
        <v>7.6700000000000004E-2</v>
      </c>
      <c r="E10" s="2"/>
      <c r="F10" s="2" t="s">
        <v>119</v>
      </c>
      <c r="G10" s="2"/>
      <c r="H10" s="2"/>
      <c r="I10" s="72" t="s">
        <v>120</v>
      </c>
      <c r="J10" s="2"/>
      <c r="K10" s="2"/>
      <c r="L10" s="2"/>
      <c r="M10" s="2"/>
      <c r="N10" s="2"/>
    </row>
    <row r="11" spans="3:14" x14ac:dyDescent="0.25">
      <c r="C11" s="2"/>
      <c r="D11" s="2"/>
      <c r="E11" s="2"/>
      <c r="F11" s="2"/>
      <c r="G11" s="2"/>
      <c r="H11" s="2"/>
      <c r="I11" s="2"/>
      <c r="J11" s="2"/>
      <c r="K11" s="2"/>
      <c r="L11" s="2"/>
      <c r="M11" s="2"/>
      <c r="N11" s="2"/>
    </row>
    <row r="12" spans="3:14" x14ac:dyDescent="0.25">
      <c r="C12" s="2"/>
      <c r="D12" s="2"/>
      <c r="E12" s="2"/>
      <c r="F12" s="2"/>
      <c r="G12" s="2"/>
      <c r="H12" s="2"/>
      <c r="I12" s="2"/>
      <c r="J12" s="2"/>
      <c r="K12" s="2"/>
      <c r="L12" s="2"/>
      <c r="M12" s="2"/>
      <c r="N12" s="2"/>
    </row>
    <row r="13" spans="3:14" x14ac:dyDescent="0.25">
      <c r="C13" s="2"/>
      <c r="D13" s="2"/>
      <c r="E13" s="2"/>
      <c r="F13" s="2"/>
      <c r="G13" s="2"/>
      <c r="H13" s="2"/>
      <c r="I13" s="2"/>
      <c r="J13" s="2"/>
      <c r="K13" s="2"/>
      <c r="L13" s="2"/>
      <c r="M13" s="2"/>
      <c r="N13" s="2"/>
    </row>
    <row r="14" spans="3:14" x14ac:dyDescent="0.25">
      <c r="C14" s="73" t="s">
        <v>121</v>
      </c>
      <c r="D14" s="74">
        <f>D7+D9*(D8-D7)+D10</f>
        <v>0.121144</v>
      </c>
      <c r="E14" s="2"/>
      <c r="F14" s="2"/>
      <c r="G14" s="2"/>
      <c r="H14" s="2"/>
      <c r="I14" s="2"/>
      <c r="J14" s="2"/>
      <c r="K14" s="2"/>
      <c r="L14" s="2"/>
      <c r="M14" s="2"/>
      <c r="N14" s="2"/>
    </row>
    <row r="15" spans="3:14" x14ac:dyDescent="0.25">
      <c r="C15" s="2"/>
      <c r="D15" s="2"/>
      <c r="E15" s="2"/>
      <c r="F15" s="2"/>
      <c r="G15" s="2"/>
      <c r="H15" s="2"/>
      <c r="I15" s="2"/>
      <c r="J15" s="2"/>
      <c r="K15" s="2"/>
      <c r="L15" s="2"/>
      <c r="M15" s="2"/>
      <c r="N15" s="2"/>
    </row>
    <row r="16" spans="3:14" x14ac:dyDescent="0.25">
      <c r="C16" s="2"/>
      <c r="D16" s="2"/>
      <c r="E16" s="2"/>
      <c r="F16" s="2"/>
      <c r="G16" s="2"/>
      <c r="H16" s="2"/>
      <c r="I16" s="2"/>
      <c r="J16" s="2"/>
      <c r="K16" s="2"/>
      <c r="L16" s="2"/>
      <c r="M16" s="2"/>
      <c r="N16" s="2"/>
    </row>
    <row r="17" spans="3:18" ht="15.75" thickBot="1" x14ac:dyDescent="0.3">
      <c r="C17" s="2"/>
      <c r="D17" s="2"/>
      <c r="E17" s="2"/>
      <c r="F17" s="2"/>
      <c r="G17" s="2"/>
      <c r="H17" s="2"/>
      <c r="I17" s="2"/>
      <c r="J17" s="2"/>
      <c r="K17" s="2"/>
      <c r="L17" s="2"/>
      <c r="M17" s="2"/>
      <c r="N17" s="2"/>
    </row>
    <row r="18" spans="3:18" ht="15.75" thickBot="1" x14ac:dyDescent="0.3">
      <c r="C18" s="75" t="s">
        <v>122</v>
      </c>
      <c r="D18" s="76">
        <v>-12490749.693350758</v>
      </c>
      <c r="E18" s="2"/>
      <c r="F18" s="2"/>
      <c r="G18" s="2"/>
      <c r="H18" s="2"/>
      <c r="I18" s="2"/>
      <c r="J18" s="2"/>
      <c r="K18" s="2"/>
      <c r="L18" s="2"/>
      <c r="M18" s="77">
        <v>1.9300000000000001E-2</v>
      </c>
      <c r="N18" s="78">
        <v>0.01</v>
      </c>
      <c r="O18" s="79"/>
    </row>
    <row r="19" spans="3:18" ht="15.75" thickBot="1" x14ac:dyDescent="0.3">
      <c r="C19" s="75" t="s">
        <v>123</v>
      </c>
      <c r="D19" s="80">
        <v>4076826.7352564721</v>
      </c>
      <c r="E19" s="2"/>
      <c r="F19" s="2"/>
      <c r="G19" s="2"/>
      <c r="H19" s="2"/>
      <c r="I19" s="2"/>
      <c r="J19" s="2"/>
      <c r="K19" s="2"/>
      <c r="L19" s="2"/>
      <c r="M19" s="81">
        <v>43817</v>
      </c>
      <c r="N19" s="82">
        <v>1.9199999999999998E-2</v>
      </c>
      <c r="O19" s="83">
        <v>0.03</v>
      </c>
      <c r="R19" s="84" t="s">
        <v>124</v>
      </c>
    </row>
    <row r="20" spans="3:18" ht="15.75" thickBot="1" x14ac:dyDescent="0.3">
      <c r="M20" s="85">
        <v>43816</v>
      </c>
      <c r="N20" s="86">
        <v>1.89E-2</v>
      </c>
      <c r="O20" s="87">
        <v>0</v>
      </c>
    </row>
    <row r="21" spans="3:18" ht="15.75" thickBot="1" x14ac:dyDescent="0.3">
      <c r="M21" s="88">
        <v>43815</v>
      </c>
      <c r="N21" s="89">
        <v>1.89E-2</v>
      </c>
      <c r="O21" s="83">
        <v>7.0000000000000007E-2</v>
      </c>
    </row>
    <row r="22" spans="3:18" ht="15.75" thickBot="1" x14ac:dyDescent="0.3">
      <c r="M22" s="90">
        <v>43812</v>
      </c>
      <c r="N22" s="91">
        <v>1.8200000000000001E-2</v>
      </c>
      <c r="O22" s="92">
        <v>-0.08</v>
      </c>
    </row>
    <row r="23" spans="3:18" ht="15.75" thickBot="1" x14ac:dyDescent="0.3">
      <c r="M23" s="88">
        <v>43811</v>
      </c>
      <c r="N23" s="89">
        <v>1.9E-2</v>
      </c>
      <c r="O23" s="83">
        <v>0.11</v>
      </c>
    </row>
    <row r="24" spans="3:18" ht="15.75" thickBot="1" x14ac:dyDescent="0.3">
      <c r="C24" s="2"/>
      <c r="D24" s="2"/>
      <c r="E24" s="2"/>
      <c r="M24" s="90">
        <v>43810</v>
      </c>
      <c r="N24" s="91">
        <v>1.7899999999999999E-2</v>
      </c>
      <c r="O24" s="92">
        <v>-0.04</v>
      </c>
    </row>
    <row r="25" spans="3:18" ht="15.75" thickBot="1" x14ac:dyDescent="0.3">
      <c r="C25" s="101" t="s">
        <v>131</v>
      </c>
      <c r="D25" s="102" t="s">
        <v>132</v>
      </c>
      <c r="E25" s="2"/>
      <c r="M25" s="88">
        <v>43809</v>
      </c>
      <c r="N25" s="89">
        <v>1.83E-2</v>
      </c>
      <c r="O25" s="83">
        <v>0</v>
      </c>
    </row>
    <row r="26" spans="3:18" ht="15.75" thickBot="1" x14ac:dyDescent="0.3">
      <c r="C26" s="2" t="s">
        <v>133</v>
      </c>
      <c r="D26" s="103">
        <v>0.5</v>
      </c>
      <c r="M26" s="90">
        <v>43808</v>
      </c>
      <c r="N26" s="91">
        <v>1.83E-2</v>
      </c>
      <c r="O26" s="92">
        <v>-0.01</v>
      </c>
    </row>
    <row r="27" spans="3:18" ht="15.75" thickBot="1" x14ac:dyDescent="0.3">
      <c r="C27" s="2" t="s">
        <v>134</v>
      </c>
      <c r="D27" s="103">
        <f>1-D26</f>
        <v>0.5</v>
      </c>
      <c r="M27" s="88">
        <v>43805</v>
      </c>
      <c r="N27" s="89">
        <v>1.84E-2</v>
      </c>
      <c r="O27" s="83">
        <v>0.05</v>
      </c>
    </row>
    <row r="28" spans="3:18" ht="15.75" thickBot="1" x14ac:dyDescent="0.3">
      <c r="C28" s="2"/>
      <c r="D28" s="2"/>
      <c r="E28" s="2"/>
      <c r="M28" s="90">
        <v>43804</v>
      </c>
      <c r="N28" s="91">
        <v>1.7999999999999999E-2</v>
      </c>
      <c r="O28" s="93">
        <v>0.02</v>
      </c>
    </row>
    <row r="29" spans="3:18" ht="15.75" thickBot="1" x14ac:dyDescent="0.3">
      <c r="C29" s="2" t="s">
        <v>135</v>
      </c>
      <c r="D29" s="71">
        <v>0.09</v>
      </c>
      <c r="E29" s="2"/>
      <c r="M29" s="88">
        <v>43803</v>
      </c>
      <c r="N29" s="89">
        <v>1.78E-2</v>
      </c>
      <c r="O29" s="83">
        <v>7.0000000000000007E-2</v>
      </c>
    </row>
    <row r="30" spans="3:18" ht="15.75" thickBot="1" x14ac:dyDescent="0.3">
      <c r="C30" s="2" t="s">
        <v>136</v>
      </c>
      <c r="D30" s="31">
        <f>D14</f>
        <v>0.121144</v>
      </c>
      <c r="E30" s="2"/>
      <c r="M30" s="90">
        <v>43802</v>
      </c>
      <c r="N30" s="91">
        <v>1.7100000000000001E-2</v>
      </c>
      <c r="O30" s="92">
        <v>-0.13</v>
      </c>
    </row>
    <row r="31" spans="3:18" ht="15.75" thickBot="1" x14ac:dyDescent="0.3">
      <c r="C31" s="2"/>
      <c r="D31" s="2"/>
      <c r="E31" s="2"/>
      <c r="M31" s="88">
        <v>43801</v>
      </c>
      <c r="N31" s="89">
        <v>1.84E-2</v>
      </c>
      <c r="O31" s="83">
        <v>0.06</v>
      </c>
    </row>
    <row r="32" spans="3:18" ht="15.75" thickBot="1" x14ac:dyDescent="0.3">
      <c r="C32" s="2" t="s">
        <v>137</v>
      </c>
      <c r="D32" s="19">
        <f>D27*D30</f>
        <v>6.0572000000000001E-2</v>
      </c>
      <c r="E32" s="2"/>
      <c r="M32" s="90">
        <v>43798</v>
      </c>
      <c r="N32" s="91">
        <v>1.77E-2</v>
      </c>
      <c r="O32" s="93">
        <v>0.01</v>
      </c>
    </row>
    <row r="33" spans="3:15" ht="15.75" thickBot="1" x14ac:dyDescent="0.3">
      <c r="C33" s="2" t="s">
        <v>138</v>
      </c>
      <c r="D33" s="19">
        <f>D29*D26*(1-0.3625)</f>
        <v>2.8687499999999998E-2</v>
      </c>
      <c r="E33" s="2"/>
      <c r="M33" s="94">
        <v>43796</v>
      </c>
      <c r="N33" s="95">
        <v>1.77E-2</v>
      </c>
      <c r="O33" s="96"/>
    </row>
    <row r="34" spans="3:15" x14ac:dyDescent="0.25">
      <c r="C34" s="2"/>
      <c r="D34" s="19"/>
      <c r="E34" s="2"/>
    </row>
    <row r="35" spans="3:15" x14ac:dyDescent="0.25">
      <c r="C35" s="2" t="s">
        <v>139</v>
      </c>
      <c r="D35" s="19">
        <f>D33+D32</f>
        <v>8.9259499999999992E-2</v>
      </c>
      <c r="E35" s="2"/>
      <c r="M35" t="s">
        <v>125</v>
      </c>
      <c r="N35" s="13">
        <f>AVERAGE(N19:N33)</f>
        <v>1.8253333333333333E-2</v>
      </c>
    </row>
  </sheetData>
  <mergeCells count="1">
    <mergeCell ref="C5:N5"/>
  </mergeCells>
  <hyperlinks>
    <hyperlink ref="I10" r:id="rId1" xr:uid="{52972EC7-B5E8-47E0-BD36-862B7DE57946}"/>
    <hyperlink ref="F8" r:id="rId2" xr:uid="{F202768C-15F7-4FD9-A288-CB85EBAB969E}"/>
    <hyperlink ref="R19" r:id="rId3" display="https://www.investopedia.com/terms/a/aar.asp" xr:uid="{2C3DF071-B454-417D-A7B4-BA9EB9540DF5}"/>
  </hyperlinks>
  <pageMargins left="0.7" right="0.7" top="0.75" bottom="0.75" header="0.3" footer="0.3"/>
  <pageSetup paperSize="9" orientation="portrait" horizontalDpi="0" verticalDpi="0"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5A05-EC7C-4A5C-84EF-BA8646486131}">
  <dimension ref="A2:J15"/>
  <sheetViews>
    <sheetView workbookViewId="0">
      <selection activeCell="D17" sqref="D17"/>
    </sheetView>
  </sheetViews>
  <sheetFormatPr baseColWidth="10" defaultColWidth="11.42578125" defaultRowHeight="15" x14ac:dyDescent="0.25"/>
  <cols>
    <col min="1" max="1" width="57.28515625" bestFit="1" customWidth="1"/>
    <col min="2" max="2" width="17.5703125" customWidth="1"/>
    <col min="3" max="3" width="12.5703125" bestFit="1" customWidth="1"/>
    <col min="4" max="4" width="14.42578125" customWidth="1"/>
    <col min="5" max="5" width="17.85546875" customWidth="1"/>
    <col min="7" max="7" width="12.5703125" bestFit="1" customWidth="1"/>
  </cols>
  <sheetData>
    <row r="2" spans="1:10" ht="18.75" x14ac:dyDescent="0.3">
      <c r="A2" s="153" t="s">
        <v>140</v>
      </c>
      <c r="B2" s="153"/>
      <c r="C2" s="153"/>
      <c r="D2" s="153"/>
      <c r="E2" s="153"/>
      <c r="F2" s="153"/>
      <c r="G2" s="153"/>
      <c r="H2" s="153"/>
      <c r="I2" s="153"/>
    </row>
    <row r="4" spans="1:10" x14ac:dyDescent="0.25">
      <c r="A4" t="s">
        <v>141</v>
      </c>
    </row>
    <row r="6" spans="1:10" x14ac:dyDescent="0.25">
      <c r="A6" t="s">
        <v>142</v>
      </c>
    </row>
    <row r="9" spans="1:10" x14ac:dyDescent="0.25">
      <c r="F9" s="126"/>
    </row>
    <row r="11" spans="1:10" x14ac:dyDescent="0.25">
      <c r="A11" s="2" t="s">
        <v>143</v>
      </c>
      <c r="B11" s="16">
        <v>6916257.5403917767</v>
      </c>
      <c r="C11" s="2" t="s">
        <v>144</v>
      </c>
      <c r="D11" s="2"/>
      <c r="E11" s="2"/>
      <c r="I11" t="s">
        <v>145</v>
      </c>
    </row>
    <row r="12" spans="1:10" x14ac:dyDescent="0.25">
      <c r="A12" s="2"/>
      <c r="B12" s="2"/>
      <c r="C12" s="2"/>
      <c r="D12" s="2" t="s">
        <v>146</v>
      </c>
      <c r="E12" s="2" t="s">
        <v>147</v>
      </c>
    </row>
    <row r="13" spans="1:10" x14ac:dyDescent="0.25">
      <c r="A13" s="2" t="s">
        <v>148</v>
      </c>
      <c r="B13" s="21">
        <v>7341119.9395860201</v>
      </c>
      <c r="C13" s="2" t="s">
        <v>144</v>
      </c>
      <c r="D13" s="21">
        <f>B13-B11</f>
        <v>424862.39919424336</v>
      </c>
      <c r="E13" s="16">
        <f>D13*10</f>
        <v>4248623.9919424336</v>
      </c>
      <c r="I13" t="s">
        <v>149</v>
      </c>
      <c r="J13" t="s">
        <v>150</v>
      </c>
    </row>
    <row r="14" spans="1:10" x14ac:dyDescent="0.25">
      <c r="B14" s="127"/>
      <c r="D14" s="127"/>
      <c r="E14" s="37"/>
    </row>
    <row r="15" spans="1:10" x14ac:dyDescent="0.25">
      <c r="B15" s="127"/>
      <c r="D15" s="127"/>
      <c r="E15" s="37"/>
    </row>
  </sheetData>
  <mergeCells count="1">
    <mergeCell ref="A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37"/>
  <sheetViews>
    <sheetView topLeftCell="A2" zoomScaleNormal="100" workbookViewId="0">
      <selection activeCell="P20" sqref="P20"/>
    </sheetView>
  </sheetViews>
  <sheetFormatPr baseColWidth="10" defaultColWidth="9.140625" defaultRowHeight="15" x14ac:dyDescent="0.25"/>
  <cols>
    <col min="2" max="2" width="34.5703125" customWidth="1"/>
    <col min="3" max="3" width="13.28515625" bestFit="1" customWidth="1"/>
    <col min="4" max="14" width="12.5703125" bestFit="1" customWidth="1"/>
    <col min="15" max="16" width="13.7109375" bestFit="1" customWidth="1"/>
    <col min="17" max="17" width="14.28515625" customWidth="1"/>
    <col min="18" max="25" width="13.5703125" bestFit="1" customWidth="1"/>
  </cols>
  <sheetData>
    <row r="3" spans="2:25" ht="15.75" x14ac:dyDescent="0.25">
      <c r="B3" s="154" t="s">
        <v>62</v>
      </c>
      <c r="C3" s="154"/>
      <c r="D3" s="154"/>
      <c r="E3" s="154"/>
      <c r="F3" s="154"/>
      <c r="G3" s="154"/>
      <c r="H3" s="154"/>
      <c r="I3" s="154"/>
      <c r="J3" s="154"/>
      <c r="K3" s="154"/>
      <c r="L3" s="154"/>
      <c r="M3" s="154"/>
      <c r="N3" s="154"/>
      <c r="O3" s="154"/>
      <c r="P3" s="154"/>
      <c r="Q3" s="154"/>
    </row>
    <row r="6" spans="2:25" x14ac:dyDescent="0.25">
      <c r="B6" s="24" t="s">
        <v>61</v>
      </c>
      <c r="C6" s="23">
        <v>2020</v>
      </c>
      <c r="D6" s="25">
        <v>2021</v>
      </c>
      <c r="E6" s="25">
        <v>2022</v>
      </c>
      <c r="F6" s="25">
        <v>2023</v>
      </c>
      <c r="G6" s="25">
        <v>2024</v>
      </c>
      <c r="H6" s="25">
        <v>2025</v>
      </c>
      <c r="I6" s="25">
        <v>2026</v>
      </c>
      <c r="J6" s="25">
        <v>2027</v>
      </c>
      <c r="K6" s="25">
        <v>2028</v>
      </c>
      <c r="L6" s="25">
        <v>2029</v>
      </c>
      <c r="M6" s="25">
        <v>2030</v>
      </c>
      <c r="N6" s="25">
        <v>2031</v>
      </c>
      <c r="O6" s="25">
        <v>2032</v>
      </c>
      <c r="P6" s="25">
        <v>2033</v>
      </c>
      <c r="Q6" s="25">
        <v>2034</v>
      </c>
      <c r="R6" s="25">
        <v>2035</v>
      </c>
      <c r="S6" s="25">
        <v>2036</v>
      </c>
      <c r="T6" s="25">
        <v>2037</v>
      </c>
      <c r="U6" s="25">
        <v>2038</v>
      </c>
      <c r="V6" s="25">
        <v>2039</v>
      </c>
      <c r="W6" s="25">
        <v>2040</v>
      </c>
      <c r="X6" s="23">
        <v>2041</v>
      </c>
      <c r="Y6" s="23">
        <v>2042</v>
      </c>
    </row>
    <row r="7" spans="2:25" x14ac:dyDescent="0.25">
      <c r="B7" s="24"/>
      <c r="C7" s="23"/>
      <c r="D7" s="23"/>
      <c r="E7" s="23"/>
      <c r="F7" s="23"/>
      <c r="G7" s="23"/>
      <c r="H7" s="23"/>
      <c r="I7" s="23"/>
      <c r="J7" s="23"/>
      <c r="K7" s="23"/>
      <c r="L7" s="23"/>
      <c r="M7" s="23"/>
      <c r="N7" s="23"/>
      <c r="O7" s="23"/>
      <c r="P7" s="23"/>
      <c r="Q7" s="23"/>
    </row>
    <row r="8" spans="2:25" x14ac:dyDescent="0.25">
      <c r="B8" s="20" t="s">
        <v>60</v>
      </c>
      <c r="C8" s="22"/>
      <c r="D8" s="22">
        <v>4407087.711744816</v>
      </c>
      <c r="E8" s="22">
        <v>4637690.1759846853</v>
      </c>
      <c r="F8" s="22">
        <v>4877713.7749971421</v>
      </c>
      <c r="G8" s="22">
        <v>5127523.7317255419</v>
      </c>
      <c r="H8" s="22">
        <v>5895544.7421641499</v>
      </c>
      <c r="I8" s="22">
        <v>6189819.2624537069</v>
      </c>
      <c r="J8" s="22">
        <v>6495914.8835118506</v>
      </c>
      <c r="K8" s="22">
        <v>6664080.5906190323</v>
      </c>
      <c r="L8" s="22">
        <v>7674636.365685042</v>
      </c>
      <c r="M8" s="22">
        <v>7872483.3605160797</v>
      </c>
      <c r="N8" s="22">
        <v>8254503.9735977156</v>
      </c>
      <c r="O8" s="22">
        <v>8468186.9086860139</v>
      </c>
      <c r="P8" s="22">
        <v>9716324.2539160587</v>
      </c>
      <c r="Q8" s="22">
        <v>9966733.9546988346</v>
      </c>
      <c r="R8" s="22">
        <v>10440408.0798469</v>
      </c>
      <c r="S8" s="22">
        <v>10710572.772775529</v>
      </c>
      <c r="T8" s="22">
        <v>11805456.553651903</v>
      </c>
      <c r="U8" s="22">
        <v>12110146.588515235</v>
      </c>
      <c r="V8" s="22">
        <v>12423215.685500829</v>
      </c>
      <c r="W8" s="22">
        <v>12744914.75347276</v>
      </c>
      <c r="X8" s="22">
        <v>13075502.985197544</v>
      </c>
      <c r="Y8" s="22">
        <v>13415248.157609215</v>
      </c>
    </row>
    <row r="9" spans="2:25" x14ac:dyDescent="0.25">
      <c r="B9" s="18"/>
      <c r="C9" s="2"/>
      <c r="D9" s="21"/>
      <c r="E9" s="21"/>
      <c r="F9" s="21"/>
      <c r="G9" s="21"/>
      <c r="H9" s="21"/>
      <c r="I9" s="21"/>
      <c r="J9" s="21"/>
      <c r="K9" s="21"/>
      <c r="L9" s="21"/>
      <c r="M9" s="21"/>
      <c r="N9" s="21"/>
      <c r="O9" s="21"/>
      <c r="P9" s="21"/>
      <c r="Q9" s="21"/>
      <c r="R9" s="21"/>
      <c r="S9" s="21"/>
      <c r="T9" s="21"/>
      <c r="U9" s="21"/>
      <c r="V9" s="21"/>
      <c r="W9" s="21"/>
      <c r="X9" s="21"/>
      <c r="Y9" s="21"/>
    </row>
    <row r="10" spans="2:25" x14ac:dyDescent="0.25">
      <c r="B10" s="20" t="s">
        <v>59</v>
      </c>
      <c r="C10" s="2"/>
      <c r="D10" s="21"/>
      <c r="E10" s="21"/>
      <c r="F10" s="21"/>
      <c r="G10" s="21"/>
      <c r="H10" s="21"/>
      <c r="I10" s="21"/>
      <c r="J10" s="21"/>
      <c r="K10" s="21"/>
      <c r="L10" s="21"/>
      <c r="M10" s="21"/>
      <c r="N10" s="21"/>
      <c r="O10" s="21"/>
      <c r="P10" s="21"/>
      <c r="Q10" s="21"/>
      <c r="R10" s="21"/>
      <c r="S10" s="21"/>
      <c r="T10" s="21"/>
      <c r="U10" s="21"/>
      <c r="V10" s="21"/>
      <c r="W10" s="21"/>
      <c r="X10" s="21"/>
      <c r="Y10" s="21"/>
    </row>
    <row r="11" spans="2:25" x14ac:dyDescent="0.25">
      <c r="B11" s="18" t="s">
        <v>58</v>
      </c>
      <c r="C11" s="21"/>
      <c r="D11" s="21">
        <f>'[1]Gastos de operacion'!F21</f>
        <v>547514.34948000009</v>
      </c>
      <c r="E11" s="21">
        <f>'[1]Gastos de operacion'!G21</f>
        <v>558464.63646960002</v>
      </c>
      <c r="F11" s="21">
        <f>'[1]Gastos de operacion'!H21</f>
        <v>692793.73919899203</v>
      </c>
      <c r="G11" s="21">
        <f>'[1]Gastos de operacion'!I21</f>
        <v>706649.61398297199</v>
      </c>
      <c r="H11" s="21">
        <f>'[1]Gastos de operacion'!J21</f>
        <v>720782.60626263125</v>
      </c>
      <c r="I11" s="21">
        <f>'[1]Gastos de operacion'!K21</f>
        <v>735198.25838788413</v>
      </c>
      <c r="J11" s="21">
        <f>'[1]Gastos de operacion'!L21</f>
        <v>749902.2235556416</v>
      </c>
      <c r="K11" s="21">
        <f>'[1]Gastos de operacion'!M21</f>
        <v>764900.26802675461</v>
      </c>
      <c r="L11" s="21">
        <f>'[1]Gastos de operacion'!N21</f>
        <v>780198.27338728972</v>
      </c>
      <c r="M11" s="21">
        <f>'[1]Gastos de operacion'!O21</f>
        <v>795802.23885503551</v>
      </c>
      <c r="N11" s="21">
        <f>'[1]Gastos de operacion'!P21</f>
        <v>811718.2836321363</v>
      </c>
      <c r="O11" s="21">
        <f>'[1]Gastos de operacion'!Q21</f>
        <v>827952.64930477901</v>
      </c>
      <c r="P11" s="21">
        <f>'[1]Gastos de operacion'!R21</f>
        <v>844511.70229087467</v>
      </c>
      <c r="Q11" s="21">
        <f>'[1]Gastos de operacion'!S21</f>
        <v>861401.93633669207</v>
      </c>
      <c r="R11" s="21">
        <f>'[1]Gastos de operacion'!T21</f>
        <v>878629.97506342595</v>
      </c>
      <c r="S11" s="21">
        <f>'[1]Gastos de operacion'!U21</f>
        <v>896202.57456469431</v>
      </c>
      <c r="T11" s="21">
        <f>'[1]Gastos de operacion'!V21</f>
        <v>914126.62605598837</v>
      </c>
      <c r="U11" s="21">
        <f>'[1]Gastos de operacion'!W21</f>
        <v>932409.15857710829</v>
      </c>
      <c r="V11" s="21">
        <f>'[1]Gastos de operacion'!X21</f>
        <v>951057.34174865054</v>
      </c>
      <c r="W11" s="21">
        <f>'[1]Gastos de operacion'!Y21</f>
        <v>970078.48858362355</v>
      </c>
      <c r="X11" s="21">
        <f>'[1]Gastos de operacion'!Z21</f>
        <v>989480.05835529591</v>
      </c>
      <c r="Y11" s="21">
        <f>'[1]Gastos de operacion'!AA21</f>
        <v>1009269.6595224018</v>
      </c>
    </row>
    <row r="12" spans="2:25" x14ac:dyDescent="0.25">
      <c r="B12" s="18" t="s">
        <v>57</v>
      </c>
      <c r="C12" s="21"/>
      <c r="D12" s="21">
        <f>'[1]Gastos de Personal'!F46</f>
        <v>847728.60834714607</v>
      </c>
      <c r="E12" s="21">
        <f>'[1]Gastos de Personal'!G46</f>
        <v>867369.03062775172</v>
      </c>
      <c r="F12" s="21">
        <f>'[1]Gastos de Personal'!H46</f>
        <v>887510.7696985614</v>
      </c>
      <c r="G12" s="21">
        <f>'[1]Gastos de Personal'!I46</f>
        <v>908168.23563250073</v>
      </c>
      <c r="H12" s="21">
        <f>'[1]Gastos de Personal'!J46</f>
        <v>929356.30380693346</v>
      </c>
      <c r="I12" s="21">
        <f>'[1]Gastos de Personal'!K46</f>
        <v>951090.33136471093</v>
      </c>
      <c r="J12" s="21">
        <f>'[1]Gastos de Personal'!L46</f>
        <v>1392274.8802216966</v>
      </c>
      <c r="K12" s="21">
        <f>'[1]Gastos de Personal'!M46</f>
        <v>1423526.6851942078</v>
      </c>
      <c r="L12" s="21">
        <f>'[1]Gastos de Personal'!N46</f>
        <v>1455541.1410838398</v>
      </c>
      <c r="M12" s="21">
        <f>'[1]Gastos de Personal'!O46</f>
        <v>1488339.0605475686</v>
      </c>
      <c r="N12" s="21">
        <f>'[1]Gastos de Personal'!P46</f>
        <v>1521941.897104911</v>
      </c>
      <c r="O12" s="21">
        <f>'[1]Gastos de Personal'!Q46</f>
        <v>1556371.7670293944</v>
      </c>
      <c r="P12" s="21">
        <f>'[1]Gastos de Personal'!R46</f>
        <v>1591651.4720444556</v>
      </c>
      <c r="Q12" s="21">
        <f>'[1]Gastos de Personal'!S46</f>
        <v>1627804.5228546672</v>
      </c>
      <c r="R12" s="21">
        <f>'[1]Gastos de Personal'!T46</f>
        <v>1664855.1635444034</v>
      </c>
      <c r="S12" s="21">
        <f>'[1]Gastos de Personal'!U46</f>
        <v>1702828.3968773328</v>
      </c>
      <c r="T12" s="21">
        <f>'[1]Gastos de Personal'!V46</f>
        <v>1741750.0105314278</v>
      </c>
      <c r="U12" s="21">
        <f>'[1]Gastos de Personal'!W46</f>
        <v>1781646.604305553</v>
      </c>
      <c r="V12" s="21">
        <f>'[1]Gastos de Personal'!X46</f>
        <v>2353797.7824634816</v>
      </c>
      <c r="W12" s="21">
        <f>'[1]Gastos de Personal'!Y46</f>
        <v>2406352.5697667287</v>
      </c>
      <c r="X12" s="21">
        <f>'[1]Gastos de Personal'!Z46</f>
        <v>2460179.7976148622</v>
      </c>
      <c r="Y12" s="21">
        <f>'[1]Gastos de Personal'!AA46</f>
        <v>2515313.857148651</v>
      </c>
    </row>
    <row r="13" spans="2:25" x14ac:dyDescent="0.25">
      <c r="B13" s="18" t="s">
        <v>56</v>
      </c>
      <c r="C13" s="21">
        <f>0</f>
        <v>0</v>
      </c>
      <c r="D13" s="21">
        <f>+'[1]Activos y Depreciación'!G8</f>
        <v>963432.79754149984</v>
      </c>
      <c r="E13" s="21">
        <f t="shared" ref="E13:Y13" si="0">D13</f>
        <v>963432.79754149984</v>
      </c>
      <c r="F13" s="21">
        <f t="shared" si="0"/>
        <v>963432.79754149984</v>
      </c>
      <c r="G13" s="21">
        <f t="shared" si="0"/>
        <v>963432.79754149984</v>
      </c>
      <c r="H13" s="21">
        <f t="shared" si="0"/>
        <v>963432.79754149984</v>
      </c>
      <c r="I13" s="21">
        <f t="shared" si="0"/>
        <v>963432.79754149984</v>
      </c>
      <c r="J13" s="21">
        <f t="shared" si="0"/>
        <v>963432.79754149984</v>
      </c>
      <c r="K13" s="21">
        <f t="shared" si="0"/>
        <v>963432.79754149984</v>
      </c>
      <c r="L13" s="21">
        <f t="shared" si="0"/>
        <v>963432.79754149984</v>
      </c>
      <c r="M13" s="21">
        <f t="shared" si="0"/>
        <v>963432.79754149984</v>
      </c>
      <c r="N13" s="21">
        <f t="shared" si="0"/>
        <v>963432.79754149984</v>
      </c>
      <c r="O13" s="21">
        <f t="shared" si="0"/>
        <v>963432.79754149984</v>
      </c>
      <c r="P13" s="21">
        <f t="shared" si="0"/>
        <v>963432.79754149984</v>
      </c>
      <c r="Q13" s="21">
        <f t="shared" si="0"/>
        <v>963432.79754149984</v>
      </c>
      <c r="R13" s="21">
        <f t="shared" si="0"/>
        <v>963432.79754149984</v>
      </c>
      <c r="S13" s="21">
        <f t="shared" si="0"/>
        <v>963432.79754149984</v>
      </c>
      <c r="T13" s="21">
        <f t="shared" si="0"/>
        <v>963432.79754149984</v>
      </c>
      <c r="U13" s="21">
        <f t="shared" si="0"/>
        <v>963432.79754149984</v>
      </c>
      <c r="V13" s="21">
        <f t="shared" si="0"/>
        <v>963432.79754149984</v>
      </c>
      <c r="W13" s="21">
        <f t="shared" si="0"/>
        <v>963432.79754149984</v>
      </c>
      <c r="X13" s="21">
        <f t="shared" si="0"/>
        <v>963432.79754149984</v>
      </c>
      <c r="Y13" s="21">
        <f t="shared" si="0"/>
        <v>963432.79754149984</v>
      </c>
    </row>
    <row r="14" spans="2:25" x14ac:dyDescent="0.25">
      <c r="B14" s="18" t="s">
        <v>55</v>
      </c>
      <c r="C14" s="16"/>
      <c r="D14" s="16">
        <f t="shared" ref="D14:Y14" si="1">SUM(D11:D13)</f>
        <v>2358675.7553686462</v>
      </c>
      <c r="E14" s="16">
        <f t="shared" si="1"/>
        <v>2389266.4646388516</v>
      </c>
      <c r="F14" s="16">
        <f t="shared" si="1"/>
        <v>2543737.3064390533</v>
      </c>
      <c r="G14" s="16">
        <f t="shared" si="1"/>
        <v>2578250.6471569724</v>
      </c>
      <c r="H14" s="16">
        <f t="shared" si="1"/>
        <v>2613571.7076110644</v>
      </c>
      <c r="I14" s="16">
        <f t="shared" si="1"/>
        <v>2649721.387294095</v>
      </c>
      <c r="J14" s="16">
        <f t="shared" si="1"/>
        <v>3105609.9013188379</v>
      </c>
      <c r="K14" s="16">
        <f t="shared" si="1"/>
        <v>3151859.7507624626</v>
      </c>
      <c r="L14" s="16">
        <f t="shared" si="1"/>
        <v>3199172.212012629</v>
      </c>
      <c r="M14" s="16">
        <f t="shared" si="1"/>
        <v>3247574.0969441039</v>
      </c>
      <c r="N14" s="16">
        <f t="shared" si="1"/>
        <v>3297092.9782785475</v>
      </c>
      <c r="O14" s="16">
        <f t="shared" si="1"/>
        <v>3347757.2138756737</v>
      </c>
      <c r="P14" s="16">
        <f t="shared" si="1"/>
        <v>3399595.9718768299</v>
      </c>
      <c r="Q14" s="16">
        <f t="shared" si="1"/>
        <v>3452639.2567328587</v>
      </c>
      <c r="R14" s="16">
        <f t="shared" si="1"/>
        <v>3506917.9361493289</v>
      </c>
      <c r="S14" s="16">
        <f t="shared" si="1"/>
        <v>3562463.7689835271</v>
      </c>
      <c r="T14" s="16">
        <f t="shared" si="1"/>
        <v>3619309.4341289159</v>
      </c>
      <c r="U14" s="16">
        <f t="shared" si="1"/>
        <v>3677488.5604241611</v>
      </c>
      <c r="V14" s="16">
        <f t="shared" si="1"/>
        <v>4268287.9217536319</v>
      </c>
      <c r="W14" s="16">
        <f t="shared" si="1"/>
        <v>4339863.8558918517</v>
      </c>
      <c r="X14" s="16">
        <f t="shared" si="1"/>
        <v>4413092.6535116583</v>
      </c>
      <c r="Y14" s="16">
        <f t="shared" si="1"/>
        <v>4488016.3142125523</v>
      </c>
    </row>
    <row r="15" spans="2:25" x14ac:dyDescent="0.25">
      <c r="B15" s="18" t="s">
        <v>54</v>
      </c>
      <c r="C15" s="16"/>
      <c r="D15" s="16">
        <v>0</v>
      </c>
      <c r="E15" s="16">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row>
    <row r="16" spans="2:25" x14ac:dyDescent="0.25">
      <c r="B16" s="20" t="s">
        <v>53</v>
      </c>
      <c r="C16" s="16"/>
      <c r="D16" s="16">
        <f t="shared" ref="D16:Y16" si="2">D8-D14-D15</f>
        <v>2048411.9563761698</v>
      </c>
      <c r="E16" s="16">
        <f t="shared" si="2"/>
        <v>2248423.7113458337</v>
      </c>
      <c r="F16" s="16">
        <f t="shared" si="2"/>
        <v>2333976.4685580889</v>
      </c>
      <c r="G16" s="16">
        <f t="shared" si="2"/>
        <v>2549273.0845685694</v>
      </c>
      <c r="H16" s="16">
        <f t="shared" si="2"/>
        <v>3281973.0345530855</v>
      </c>
      <c r="I16" s="16">
        <f t="shared" si="2"/>
        <v>3540097.8751596119</v>
      </c>
      <c r="J16" s="16">
        <f t="shared" si="2"/>
        <v>3390304.9821930127</v>
      </c>
      <c r="K16" s="16">
        <f t="shared" si="2"/>
        <v>3512220.8398565697</v>
      </c>
      <c r="L16" s="16">
        <f t="shared" si="2"/>
        <v>4475464.153672413</v>
      </c>
      <c r="M16" s="16">
        <f t="shared" si="2"/>
        <v>4624909.2635719758</v>
      </c>
      <c r="N16" s="16">
        <f t="shared" si="2"/>
        <v>4957410.9953191681</v>
      </c>
      <c r="O16" s="16">
        <f t="shared" si="2"/>
        <v>5120429.6948103402</v>
      </c>
      <c r="P16" s="16">
        <f t="shared" si="2"/>
        <v>6316728.2820392288</v>
      </c>
      <c r="Q16" s="16">
        <f t="shared" si="2"/>
        <v>6514094.6979659759</v>
      </c>
      <c r="R16" s="16">
        <f t="shared" si="2"/>
        <v>6933490.143697571</v>
      </c>
      <c r="S16" s="16">
        <f t="shared" si="2"/>
        <v>7148109.0037920019</v>
      </c>
      <c r="T16" s="16">
        <f t="shared" si="2"/>
        <v>8186147.1195229869</v>
      </c>
      <c r="U16" s="16">
        <f t="shared" si="2"/>
        <v>8432658.028091073</v>
      </c>
      <c r="V16" s="16">
        <f t="shared" si="2"/>
        <v>8154927.7637471966</v>
      </c>
      <c r="W16" s="16">
        <f t="shared" si="2"/>
        <v>8405050.8975809086</v>
      </c>
      <c r="X16" s="16">
        <f t="shared" si="2"/>
        <v>8662410.3316858858</v>
      </c>
      <c r="Y16" s="16">
        <f t="shared" si="2"/>
        <v>8927231.8433966637</v>
      </c>
    </row>
    <row r="17" spans="2:25" x14ac:dyDescent="0.25">
      <c r="B17" s="18"/>
      <c r="C17" s="2"/>
      <c r="D17" s="2"/>
      <c r="E17" s="2"/>
      <c r="F17" s="2"/>
      <c r="G17" s="2"/>
      <c r="H17" s="2"/>
      <c r="I17" s="2"/>
      <c r="J17" s="2"/>
      <c r="K17" s="2"/>
      <c r="L17" s="2"/>
      <c r="M17" s="2"/>
      <c r="N17" s="2"/>
      <c r="O17" s="2"/>
      <c r="P17" s="2"/>
      <c r="Q17" s="2"/>
      <c r="R17" s="2"/>
      <c r="S17" s="2"/>
      <c r="T17" s="2"/>
      <c r="U17" s="2"/>
      <c r="V17" s="2"/>
      <c r="W17" s="2"/>
      <c r="X17" s="2"/>
      <c r="Y17" s="2"/>
    </row>
    <row r="18" spans="2:25" x14ac:dyDescent="0.25">
      <c r="B18" s="20" t="s">
        <v>52</v>
      </c>
      <c r="C18" s="16">
        <f>0.15*C16</f>
        <v>0</v>
      </c>
      <c r="D18" s="16">
        <v>0</v>
      </c>
      <c r="E18" s="16">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v>0</v>
      </c>
    </row>
    <row r="19" spans="2:25" ht="30" x14ac:dyDescent="0.25">
      <c r="B19" s="18" t="s">
        <v>51</v>
      </c>
      <c r="C19" s="16">
        <f t="shared" ref="C19:Y19" si="3">C16-C18</f>
        <v>0</v>
      </c>
      <c r="D19" s="16">
        <f t="shared" si="3"/>
        <v>2048411.9563761698</v>
      </c>
      <c r="E19" s="16">
        <f t="shared" si="3"/>
        <v>2248423.7113458337</v>
      </c>
      <c r="F19" s="16">
        <f t="shared" si="3"/>
        <v>2333976.4685580889</v>
      </c>
      <c r="G19" s="16">
        <f t="shared" si="3"/>
        <v>2549273.0845685694</v>
      </c>
      <c r="H19" s="16">
        <f t="shared" si="3"/>
        <v>3281973.0345530855</v>
      </c>
      <c r="I19" s="16">
        <f t="shared" si="3"/>
        <v>3540097.8751596119</v>
      </c>
      <c r="J19" s="16">
        <f t="shared" si="3"/>
        <v>3390304.9821930127</v>
      </c>
      <c r="K19" s="16">
        <f t="shared" si="3"/>
        <v>3512220.8398565697</v>
      </c>
      <c r="L19" s="16">
        <f t="shared" si="3"/>
        <v>4475464.153672413</v>
      </c>
      <c r="M19" s="16">
        <f t="shared" si="3"/>
        <v>4624909.2635719758</v>
      </c>
      <c r="N19" s="16">
        <f t="shared" si="3"/>
        <v>4957410.9953191681</v>
      </c>
      <c r="O19" s="16">
        <f t="shared" si="3"/>
        <v>5120429.6948103402</v>
      </c>
      <c r="P19" s="16">
        <f t="shared" si="3"/>
        <v>6316728.2820392288</v>
      </c>
      <c r="Q19" s="16">
        <f t="shared" si="3"/>
        <v>6514094.6979659759</v>
      </c>
      <c r="R19" s="16">
        <f t="shared" si="3"/>
        <v>6933490.143697571</v>
      </c>
      <c r="S19" s="16">
        <f t="shared" si="3"/>
        <v>7148109.0037920019</v>
      </c>
      <c r="T19" s="16">
        <f t="shared" si="3"/>
        <v>8186147.1195229869</v>
      </c>
      <c r="U19" s="16">
        <f t="shared" si="3"/>
        <v>8432658.028091073</v>
      </c>
      <c r="V19" s="16">
        <f t="shared" si="3"/>
        <v>8154927.7637471966</v>
      </c>
      <c r="W19" s="16">
        <f t="shared" si="3"/>
        <v>8405050.8975809086</v>
      </c>
      <c r="X19" s="16">
        <f t="shared" si="3"/>
        <v>8662410.3316858858</v>
      </c>
      <c r="Y19" s="16">
        <f t="shared" si="3"/>
        <v>8927231.8433966637</v>
      </c>
    </row>
    <row r="20" spans="2:25" x14ac:dyDescent="0.25">
      <c r="B20" s="18" t="s">
        <v>50</v>
      </c>
      <c r="C20" s="16">
        <f>0.25*C19</f>
        <v>0</v>
      </c>
      <c r="D20" s="16">
        <v>0</v>
      </c>
      <c r="E20" s="16">
        <v>0</v>
      </c>
      <c r="F20" s="16">
        <v>0</v>
      </c>
      <c r="G20" s="16">
        <v>0</v>
      </c>
      <c r="H20" s="16">
        <v>0</v>
      </c>
      <c r="I20" s="16">
        <v>0</v>
      </c>
      <c r="J20" s="16">
        <v>0</v>
      </c>
      <c r="K20" s="16">
        <v>0</v>
      </c>
      <c r="L20" s="16">
        <v>0</v>
      </c>
      <c r="M20" s="16">
        <v>0</v>
      </c>
      <c r="N20" s="16">
        <v>0</v>
      </c>
      <c r="O20" s="16">
        <v>0</v>
      </c>
      <c r="P20" s="16">
        <v>0</v>
      </c>
      <c r="Q20" s="16">
        <v>0</v>
      </c>
      <c r="R20" s="16">
        <v>0</v>
      </c>
      <c r="S20" s="16">
        <v>0</v>
      </c>
      <c r="T20" s="16">
        <v>0</v>
      </c>
      <c r="U20" s="16">
        <v>0</v>
      </c>
      <c r="V20" s="16">
        <v>0</v>
      </c>
      <c r="W20" s="16">
        <v>0</v>
      </c>
      <c r="X20" s="16">
        <v>0</v>
      </c>
      <c r="Y20" s="16">
        <v>0</v>
      </c>
    </row>
    <row r="21" spans="2:25" x14ac:dyDescent="0.25">
      <c r="B21" s="20" t="s">
        <v>49</v>
      </c>
      <c r="C21" s="16">
        <f t="shared" ref="C21:Y21" si="4">C19-C20</f>
        <v>0</v>
      </c>
      <c r="D21" s="16">
        <f t="shared" si="4"/>
        <v>2048411.9563761698</v>
      </c>
      <c r="E21" s="16">
        <f t="shared" si="4"/>
        <v>2248423.7113458337</v>
      </c>
      <c r="F21" s="16">
        <f t="shared" si="4"/>
        <v>2333976.4685580889</v>
      </c>
      <c r="G21" s="16">
        <f t="shared" si="4"/>
        <v>2549273.0845685694</v>
      </c>
      <c r="H21" s="16">
        <f t="shared" si="4"/>
        <v>3281973.0345530855</v>
      </c>
      <c r="I21" s="16">
        <f t="shared" si="4"/>
        <v>3540097.8751596119</v>
      </c>
      <c r="J21" s="16">
        <f t="shared" si="4"/>
        <v>3390304.9821930127</v>
      </c>
      <c r="K21" s="16">
        <f t="shared" si="4"/>
        <v>3512220.8398565697</v>
      </c>
      <c r="L21" s="16">
        <f t="shared" si="4"/>
        <v>4475464.153672413</v>
      </c>
      <c r="M21" s="16">
        <f t="shared" si="4"/>
        <v>4624909.2635719758</v>
      </c>
      <c r="N21" s="16">
        <f t="shared" si="4"/>
        <v>4957410.9953191681</v>
      </c>
      <c r="O21" s="16">
        <f t="shared" si="4"/>
        <v>5120429.6948103402</v>
      </c>
      <c r="P21" s="16">
        <f t="shared" si="4"/>
        <v>6316728.2820392288</v>
      </c>
      <c r="Q21" s="16">
        <f t="shared" si="4"/>
        <v>6514094.6979659759</v>
      </c>
      <c r="R21" s="16">
        <f t="shared" si="4"/>
        <v>6933490.143697571</v>
      </c>
      <c r="S21" s="16">
        <f t="shared" si="4"/>
        <v>7148109.0037920019</v>
      </c>
      <c r="T21" s="16">
        <f t="shared" si="4"/>
        <v>8186147.1195229869</v>
      </c>
      <c r="U21" s="16">
        <f t="shared" si="4"/>
        <v>8432658.028091073</v>
      </c>
      <c r="V21" s="16">
        <f t="shared" si="4"/>
        <v>8154927.7637471966</v>
      </c>
      <c r="W21" s="16">
        <f t="shared" si="4"/>
        <v>8405050.8975809086</v>
      </c>
      <c r="X21" s="16">
        <f t="shared" si="4"/>
        <v>8662410.3316858858</v>
      </c>
      <c r="Y21" s="16">
        <f t="shared" si="4"/>
        <v>8927231.8433966637</v>
      </c>
    </row>
    <row r="22" spans="2:25" x14ac:dyDescent="0.25">
      <c r="B22" s="18"/>
      <c r="C22" s="16"/>
      <c r="D22" s="2"/>
      <c r="E22" s="2"/>
      <c r="F22" s="2"/>
      <c r="G22" s="2"/>
      <c r="H22" s="2"/>
      <c r="I22" s="2"/>
      <c r="J22" s="2"/>
      <c r="K22" s="2"/>
      <c r="L22" s="2"/>
      <c r="M22" s="2"/>
      <c r="N22" s="2"/>
      <c r="O22" s="2"/>
      <c r="P22" s="2"/>
      <c r="Q22" s="2"/>
      <c r="R22" s="2"/>
      <c r="S22" s="2"/>
      <c r="T22" s="2"/>
      <c r="U22" s="2"/>
      <c r="V22" s="2"/>
      <c r="W22" s="2"/>
      <c r="X22" s="2"/>
      <c r="Y22" s="2"/>
    </row>
    <row r="23" spans="2:25" ht="30" x14ac:dyDescent="0.25">
      <c r="B23" s="18" t="s">
        <v>48</v>
      </c>
      <c r="C23" s="16">
        <f t="shared" ref="C23:Y23" si="5">C21+C13</f>
        <v>0</v>
      </c>
      <c r="D23" s="16">
        <f t="shared" si="5"/>
        <v>3011844.7539176699</v>
      </c>
      <c r="E23" s="16">
        <f t="shared" si="5"/>
        <v>3211856.5088873338</v>
      </c>
      <c r="F23" s="16">
        <f t="shared" si="5"/>
        <v>3297409.2660995889</v>
      </c>
      <c r="G23" s="16">
        <f t="shared" si="5"/>
        <v>3512705.8821100695</v>
      </c>
      <c r="H23" s="16">
        <f t="shared" si="5"/>
        <v>4245405.8320945855</v>
      </c>
      <c r="I23" s="16">
        <f t="shared" si="5"/>
        <v>4503530.672701112</v>
      </c>
      <c r="J23" s="16">
        <f t="shared" si="5"/>
        <v>4353737.7797345128</v>
      </c>
      <c r="K23" s="16">
        <f t="shared" si="5"/>
        <v>4475653.6373980697</v>
      </c>
      <c r="L23" s="16">
        <f t="shared" si="5"/>
        <v>5438896.951213913</v>
      </c>
      <c r="M23" s="16">
        <f t="shared" si="5"/>
        <v>5588342.0611134758</v>
      </c>
      <c r="N23" s="16">
        <f t="shared" si="5"/>
        <v>5920843.7928606682</v>
      </c>
      <c r="O23" s="16">
        <f t="shared" si="5"/>
        <v>6083862.4923518403</v>
      </c>
      <c r="P23" s="16">
        <f t="shared" si="5"/>
        <v>7280161.0795807289</v>
      </c>
      <c r="Q23" s="16">
        <f t="shared" si="5"/>
        <v>7477527.4955074759</v>
      </c>
      <c r="R23" s="16">
        <f t="shared" si="5"/>
        <v>7896922.9412390711</v>
      </c>
      <c r="S23" s="16">
        <f t="shared" si="5"/>
        <v>8111541.8013335019</v>
      </c>
      <c r="T23" s="16">
        <f t="shared" si="5"/>
        <v>9149579.9170644861</v>
      </c>
      <c r="U23" s="16">
        <f t="shared" si="5"/>
        <v>9396090.8256325722</v>
      </c>
      <c r="V23" s="16">
        <f t="shared" si="5"/>
        <v>9118360.5612886958</v>
      </c>
      <c r="W23" s="16">
        <f t="shared" si="5"/>
        <v>9368483.6951224077</v>
      </c>
      <c r="X23" s="16">
        <f t="shared" si="5"/>
        <v>9625843.1292273849</v>
      </c>
      <c r="Y23" s="16">
        <f t="shared" si="5"/>
        <v>9890664.6409381628</v>
      </c>
    </row>
    <row r="24" spans="2:25" x14ac:dyDescent="0.25">
      <c r="B24" s="18"/>
      <c r="C24" s="2"/>
      <c r="D24" s="2"/>
      <c r="E24" s="2"/>
      <c r="F24" s="2"/>
      <c r="G24" s="2"/>
      <c r="H24" s="2"/>
      <c r="I24" s="2"/>
      <c r="J24" s="2"/>
      <c r="K24" s="2"/>
      <c r="L24" s="2"/>
      <c r="M24" s="2"/>
      <c r="N24" s="2"/>
      <c r="O24" s="2"/>
      <c r="P24" s="2"/>
      <c r="Q24" s="2"/>
      <c r="R24" s="2"/>
      <c r="S24" s="2"/>
      <c r="T24" s="2"/>
      <c r="U24" s="2"/>
      <c r="V24" s="2"/>
      <c r="W24" s="2"/>
      <c r="X24" s="2"/>
      <c r="Y24" s="2"/>
    </row>
    <row r="25" spans="2:25" x14ac:dyDescent="0.25">
      <c r="B25" s="20" t="s">
        <v>47</v>
      </c>
      <c r="C25" s="2"/>
      <c r="D25" s="2"/>
      <c r="E25" s="2"/>
      <c r="F25" s="2"/>
      <c r="G25" s="2"/>
      <c r="H25" s="2"/>
      <c r="I25" s="2"/>
      <c r="J25" s="2"/>
      <c r="K25" s="2"/>
      <c r="L25" s="2"/>
      <c r="M25" s="2"/>
      <c r="N25" s="2"/>
      <c r="O25" s="2"/>
      <c r="P25" s="2"/>
      <c r="Q25" s="2"/>
      <c r="R25" s="2"/>
      <c r="S25" s="2"/>
      <c r="T25" s="2"/>
      <c r="U25" s="2"/>
      <c r="V25" s="2"/>
      <c r="W25" s="2"/>
      <c r="X25" s="2"/>
      <c r="Y25" s="2"/>
    </row>
    <row r="26" spans="2:25" x14ac:dyDescent="0.25">
      <c r="B26" s="18" t="s">
        <v>46</v>
      </c>
      <c r="C26" s="19">
        <v>5.0000000000000001E-3</v>
      </c>
      <c r="D26" s="2"/>
      <c r="E26" s="2"/>
      <c r="F26" s="2"/>
      <c r="G26" s="2"/>
      <c r="H26" s="2"/>
      <c r="I26" s="2"/>
      <c r="J26" s="2"/>
      <c r="K26" s="2"/>
      <c r="L26" s="2"/>
      <c r="M26" s="2"/>
      <c r="N26" s="2"/>
      <c r="O26" s="2"/>
      <c r="P26" s="2"/>
      <c r="Q26" s="2"/>
      <c r="R26" s="2"/>
      <c r="S26" s="2"/>
      <c r="T26" s="2"/>
      <c r="U26" s="2"/>
      <c r="V26" s="2"/>
      <c r="W26" s="2"/>
      <c r="X26" s="2"/>
      <c r="Y26" s="2"/>
    </row>
    <row r="27" spans="2:25" x14ac:dyDescent="0.25">
      <c r="B27" s="18" t="s">
        <v>45</v>
      </c>
      <c r="C27" s="16"/>
      <c r="D27" s="16">
        <f t="shared" ref="D27:Y27" si="6">$C$26*D8</f>
        <v>22035.438558724079</v>
      </c>
      <c r="E27" s="16">
        <f t="shared" si="6"/>
        <v>23188.450879923428</v>
      </c>
      <c r="F27" s="16">
        <f t="shared" si="6"/>
        <v>24388.568874985711</v>
      </c>
      <c r="G27" s="16">
        <f t="shared" si="6"/>
        <v>25637.618658627711</v>
      </c>
      <c r="H27" s="16">
        <f t="shared" si="6"/>
        <v>29477.723710820748</v>
      </c>
      <c r="I27" s="16">
        <f t="shared" si="6"/>
        <v>30949.096312268535</v>
      </c>
      <c r="J27" s="16">
        <f t="shared" si="6"/>
        <v>32479.574417559255</v>
      </c>
      <c r="K27" s="16">
        <f t="shared" si="6"/>
        <v>33320.402953095159</v>
      </c>
      <c r="L27" s="16">
        <f t="shared" si="6"/>
        <v>38373.181828425208</v>
      </c>
      <c r="M27" s="16">
        <f t="shared" si="6"/>
        <v>39362.416802580403</v>
      </c>
      <c r="N27" s="16">
        <f t="shared" si="6"/>
        <v>41272.51986798858</v>
      </c>
      <c r="O27" s="16">
        <f t="shared" si="6"/>
        <v>42340.93454343007</v>
      </c>
      <c r="P27" s="16">
        <f t="shared" si="6"/>
        <v>48581.621269580297</v>
      </c>
      <c r="Q27" s="16">
        <f t="shared" si="6"/>
        <v>49833.669773494177</v>
      </c>
      <c r="R27" s="16">
        <f t="shared" si="6"/>
        <v>52202.040399234502</v>
      </c>
      <c r="S27" s="16">
        <f t="shared" si="6"/>
        <v>53552.863863877647</v>
      </c>
      <c r="T27" s="16">
        <f t="shared" si="6"/>
        <v>59027.282768259516</v>
      </c>
      <c r="U27" s="16">
        <f t="shared" si="6"/>
        <v>60550.732942576178</v>
      </c>
      <c r="V27" s="16">
        <f t="shared" si="6"/>
        <v>62116.078427504144</v>
      </c>
      <c r="W27" s="16">
        <f t="shared" si="6"/>
        <v>63724.5737673638</v>
      </c>
      <c r="X27" s="16">
        <f t="shared" si="6"/>
        <v>65377.514925987722</v>
      </c>
      <c r="Y27" s="16">
        <f t="shared" si="6"/>
        <v>67076.240788046081</v>
      </c>
    </row>
    <row r="28" spans="2:25" x14ac:dyDescent="0.25">
      <c r="B28" s="17" t="s">
        <v>44</v>
      </c>
      <c r="C28" s="16">
        <f>-C27</f>
        <v>0</v>
      </c>
      <c r="D28" s="16">
        <f t="shared" ref="D28:Y28" si="7">C27-D27</f>
        <v>-22035.438558724079</v>
      </c>
      <c r="E28" s="16">
        <f t="shared" si="7"/>
        <v>-1153.0123211993487</v>
      </c>
      <c r="F28" s="16">
        <f t="shared" si="7"/>
        <v>-1200.1179950622827</v>
      </c>
      <c r="G28" s="16">
        <f t="shared" si="7"/>
        <v>-1249.049783642</v>
      </c>
      <c r="H28" s="16">
        <f t="shared" si="7"/>
        <v>-3840.1050521930374</v>
      </c>
      <c r="I28" s="16">
        <f t="shared" si="7"/>
        <v>-1471.372601447787</v>
      </c>
      <c r="J28" s="16">
        <f t="shared" si="7"/>
        <v>-1530.4781052907201</v>
      </c>
      <c r="K28" s="16">
        <f t="shared" si="7"/>
        <v>-840.82853553590394</v>
      </c>
      <c r="L28" s="16">
        <f t="shared" si="7"/>
        <v>-5052.7788753300483</v>
      </c>
      <c r="M28" s="16">
        <f t="shared" si="7"/>
        <v>-989.23497415519523</v>
      </c>
      <c r="N28" s="16">
        <f t="shared" si="7"/>
        <v>-1910.1030654081769</v>
      </c>
      <c r="O28" s="16">
        <f t="shared" si="7"/>
        <v>-1068.4146754414905</v>
      </c>
      <c r="P28" s="16">
        <f t="shared" si="7"/>
        <v>-6240.6867261502266</v>
      </c>
      <c r="Q28" s="16">
        <f t="shared" si="7"/>
        <v>-1252.0485039138803</v>
      </c>
      <c r="R28" s="16">
        <f t="shared" si="7"/>
        <v>-2368.3706257403246</v>
      </c>
      <c r="S28" s="16">
        <f t="shared" si="7"/>
        <v>-1350.8234646431447</v>
      </c>
      <c r="T28" s="16">
        <f t="shared" si="7"/>
        <v>-5474.4189043818697</v>
      </c>
      <c r="U28" s="16">
        <f t="shared" si="7"/>
        <v>-1523.450174316662</v>
      </c>
      <c r="V28" s="16">
        <f t="shared" si="7"/>
        <v>-1565.345484927966</v>
      </c>
      <c r="W28" s="16">
        <f t="shared" si="7"/>
        <v>-1608.4953398596554</v>
      </c>
      <c r="X28" s="16">
        <f t="shared" si="7"/>
        <v>-1652.9411586239221</v>
      </c>
      <c r="Y28" s="16">
        <f t="shared" si="7"/>
        <v>-1698.7258620583598</v>
      </c>
    </row>
    <row r="30" spans="2:25" ht="30" x14ac:dyDescent="0.25">
      <c r="B30" s="17" t="s">
        <v>43</v>
      </c>
      <c r="C30" s="2"/>
      <c r="D30" s="16">
        <f t="shared" ref="D30:Y30" si="8">C18</f>
        <v>0</v>
      </c>
      <c r="E30" s="16">
        <f t="shared" si="8"/>
        <v>0</v>
      </c>
      <c r="F30" s="16">
        <f t="shared" si="8"/>
        <v>0</v>
      </c>
      <c r="G30" s="16">
        <f t="shared" si="8"/>
        <v>0</v>
      </c>
      <c r="H30" s="16">
        <f t="shared" si="8"/>
        <v>0</v>
      </c>
      <c r="I30" s="16">
        <f t="shared" si="8"/>
        <v>0</v>
      </c>
      <c r="J30" s="16">
        <f t="shared" si="8"/>
        <v>0</v>
      </c>
      <c r="K30" s="16">
        <f t="shared" si="8"/>
        <v>0</v>
      </c>
      <c r="L30" s="16">
        <f t="shared" si="8"/>
        <v>0</v>
      </c>
      <c r="M30" s="16">
        <f t="shared" si="8"/>
        <v>0</v>
      </c>
      <c r="N30" s="16">
        <f t="shared" si="8"/>
        <v>0</v>
      </c>
      <c r="O30" s="16">
        <f t="shared" si="8"/>
        <v>0</v>
      </c>
      <c r="P30" s="16">
        <f t="shared" si="8"/>
        <v>0</v>
      </c>
      <c r="Q30" s="16">
        <f t="shared" si="8"/>
        <v>0</v>
      </c>
      <c r="R30" s="16">
        <f t="shared" si="8"/>
        <v>0</v>
      </c>
      <c r="S30" s="16">
        <f t="shared" si="8"/>
        <v>0</v>
      </c>
      <c r="T30" s="16">
        <f t="shared" si="8"/>
        <v>0</v>
      </c>
      <c r="U30" s="16">
        <f t="shared" si="8"/>
        <v>0</v>
      </c>
      <c r="V30" s="16">
        <f t="shared" si="8"/>
        <v>0</v>
      </c>
      <c r="W30" s="16">
        <f t="shared" si="8"/>
        <v>0</v>
      </c>
      <c r="X30" s="16">
        <f t="shared" si="8"/>
        <v>0</v>
      </c>
      <c r="Y30" s="16">
        <f t="shared" si="8"/>
        <v>0</v>
      </c>
    </row>
    <row r="34" spans="2:25" x14ac:dyDescent="0.25">
      <c r="B34" s="3" t="s">
        <v>42</v>
      </c>
      <c r="C34" s="15">
        <f t="shared" ref="C34:Y34" si="9">C28+C23+C18-C30</f>
        <v>0</v>
      </c>
      <c r="D34" s="15">
        <f t="shared" si="9"/>
        <v>2989809.3153589456</v>
      </c>
      <c r="E34" s="15">
        <f t="shared" si="9"/>
        <v>3210703.4965661345</v>
      </c>
      <c r="F34" s="15">
        <f t="shared" si="9"/>
        <v>3296209.1481045266</v>
      </c>
      <c r="G34" s="15">
        <f t="shared" si="9"/>
        <v>3511456.8323264276</v>
      </c>
      <c r="H34" s="15">
        <f t="shared" si="9"/>
        <v>4241565.7270423928</v>
      </c>
      <c r="I34" s="15">
        <f t="shared" si="9"/>
        <v>4502059.3000996644</v>
      </c>
      <c r="J34" s="15">
        <f t="shared" si="9"/>
        <v>4352207.301629222</v>
      </c>
      <c r="K34" s="15">
        <f t="shared" si="9"/>
        <v>4474812.8088625334</v>
      </c>
      <c r="L34" s="15">
        <f t="shared" si="9"/>
        <v>5433844.1723385826</v>
      </c>
      <c r="M34" s="15">
        <f t="shared" si="9"/>
        <v>5587352.8261393206</v>
      </c>
      <c r="N34" s="15">
        <f t="shared" si="9"/>
        <v>5918933.6897952603</v>
      </c>
      <c r="O34" s="15">
        <f t="shared" si="9"/>
        <v>6082794.0776763987</v>
      </c>
      <c r="P34" s="15">
        <f t="shared" si="9"/>
        <v>7273920.3928545788</v>
      </c>
      <c r="Q34" s="15">
        <f t="shared" si="9"/>
        <v>7476275.447003562</v>
      </c>
      <c r="R34" s="15">
        <f t="shared" si="9"/>
        <v>7894554.5706133312</v>
      </c>
      <c r="S34" s="15">
        <f t="shared" si="9"/>
        <v>8110190.9778688587</v>
      </c>
      <c r="T34" s="15">
        <f t="shared" si="9"/>
        <v>9144105.4981601033</v>
      </c>
      <c r="U34" s="15">
        <f t="shared" si="9"/>
        <v>9394567.3754582554</v>
      </c>
      <c r="V34" s="15">
        <f t="shared" si="9"/>
        <v>9116795.2158037685</v>
      </c>
      <c r="W34" s="15">
        <f t="shared" si="9"/>
        <v>9366875.1997825485</v>
      </c>
      <c r="X34" s="15">
        <f t="shared" si="9"/>
        <v>9624190.1880687606</v>
      </c>
      <c r="Y34" s="15">
        <f t="shared" si="9"/>
        <v>9888965.9150761049</v>
      </c>
    </row>
    <row r="36" spans="2:25" x14ac:dyDescent="0.25">
      <c r="C36" s="14"/>
      <c r="D36" s="14"/>
      <c r="E36" s="14"/>
      <c r="F36" s="14"/>
      <c r="G36" s="14"/>
      <c r="H36" s="14"/>
      <c r="I36" s="14"/>
      <c r="J36" s="14"/>
      <c r="K36" s="14"/>
      <c r="L36" s="14"/>
      <c r="M36" s="14"/>
      <c r="N36" s="14"/>
      <c r="O36" s="14"/>
      <c r="P36" s="14"/>
      <c r="Q36" s="14"/>
    </row>
    <row r="37" spans="2:25" x14ac:dyDescent="0.25">
      <c r="C37" s="13"/>
    </row>
  </sheetData>
  <mergeCells count="1">
    <mergeCell ref="B3:Q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Z33"/>
  <sheetViews>
    <sheetView workbookViewId="0">
      <selection activeCell="D33" sqref="D33"/>
    </sheetView>
  </sheetViews>
  <sheetFormatPr baseColWidth="10" defaultColWidth="9.140625" defaultRowHeight="15" x14ac:dyDescent="0.25"/>
  <cols>
    <col min="2" max="2" width="32.85546875" customWidth="1"/>
    <col min="3" max="3" width="16.7109375" customWidth="1"/>
    <col min="4" max="4" width="14.42578125" bestFit="1" customWidth="1"/>
    <col min="5" max="26" width="12.5703125" bestFit="1" customWidth="1"/>
  </cols>
  <sheetData>
    <row r="4" spans="2:26" ht="15.75" x14ac:dyDescent="0.25">
      <c r="B4" s="154" t="s">
        <v>63</v>
      </c>
      <c r="C4" s="154"/>
      <c r="D4" s="154"/>
      <c r="E4" s="154"/>
      <c r="F4" s="154"/>
      <c r="G4" s="154"/>
      <c r="H4" s="154"/>
      <c r="I4" s="154"/>
      <c r="J4" s="154"/>
      <c r="K4" s="154"/>
      <c r="L4" s="154"/>
      <c r="M4" s="154"/>
      <c r="N4" s="154"/>
      <c r="O4" s="154"/>
      <c r="P4" s="154"/>
      <c r="Q4" s="154"/>
      <c r="R4" s="154"/>
      <c r="S4" s="154"/>
      <c r="T4" s="154"/>
      <c r="U4" s="154"/>
      <c r="V4" s="154"/>
      <c r="W4" s="154"/>
      <c r="X4" s="154"/>
    </row>
    <row r="6" spans="2:26" x14ac:dyDescent="0.25">
      <c r="B6" s="20" t="s">
        <v>36</v>
      </c>
      <c r="C6" s="25">
        <v>2019</v>
      </c>
      <c r="D6" s="25">
        <v>2020</v>
      </c>
      <c r="E6" s="25">
        <v>2021</v>
      </c>
      <c r="F6" s="25">
        <v>2022</v>
      </c>
      <c r="G6" s="25">
        <v>2023</v>
      </c>
      <c r="H6" s="25">
        <v>2024</v>
      </c>
      <c r="I6" s="25">
        <v>2025</v>
      </c>
      <c r="J6" s="25">
        <v>2026</v>
      </c>
      <c r="K6" s="25">
        <v>2027</v>
      </c>
      <c r="L6" s="25">
        <v>2028</v>
      </c>
      <c r="M6" s="25">
        <v>2029</v>
      </c>
      <c r="N6" s="25">
        <v>2030</v>
      </c>
      <c r="O6" s="25">
        <v>2031</v>
      </c>
      <c r="P6" s="25">
        <v>2032</v>
      </c>
      <c r="Q6" s="25">
        <v>2033</v>
      </c>
      <c r="R6" s="25">
        <v>2034</v>
      </c>
      <c r="S6" s="25">
        <v>2035</v>
      </c>
      <c r="T6" s="25">
        <v>2036</v>
      </c>
      <c r="U6" s="25">
        <v>2037</v>
      </c>
      <c r="V6" s="25">
        <v>2038</v>
      </c>
      <c r="W6" s="25">
        <v>2039</v>
      </c>
      <c r="X6" s="25">
        <v>2040</v>
      </c>
      <c r="Y6" s="23">
        <v>2041</v>
      </c>
      <c r="Z6" s="23">
        <v>2042</v>
      </c>
    </row>
    <row r="7" spans="2:26" x14ac:dyDescent="0.25">
      <c r="B7" s="18" t="s">
        <v>64</v>
      </c>
      <c r="C7" s="21">
        <v>0</v>
      </c>
      <c r="D7" s="16">
        <f>'Flujo de caja Operacion PPR'!C34</f>
        <v>0</v>
      </c>
      <c r="E7" s="16">
        <f>'Flujo de caja Operacion PPR'!D34</f>
        <v>2989809.3153589456</v>
      </c>
      <c r="F7" s="16">
        <f>'Flujo de caja Operacion PPR'!E34</f>
        <v>3210703.4965661345</v>
      </c>
      <c r="G7" s="16">
        <f>'Flujo de caja Operacion PPR'!F34</f>
        <v>3296209.1481045266</v>
      </c>
      <c r="H7" s="16">
        <f>'Flujo de caja Operacion PPR'!G34</f>
        <v>3511456.8323264276</v>
      </c>
      <c r="I7" s="16">
        <f>'Flujo de caja Operacion PPR'!H34</f>
        <v>4241565.7270423928</v>
      </c>
      <c r="J7" s="16">
        <f>'Flujo de caja Operacion PPR'!I34</f>
        <v>4502059.3000996644</v>
      </c>
      <c r="K7" s="16">
        <f>'Flujo de caja Operacion PPR'!J34</f>
        <v>4352207.301629222</v>
      </c>
      <c r="L7" s="16">
        <f>'Flujo de caja Operacion PPR'!K34</f>
        <v>4474812.8088625334</v>
      </c>
      <c r="M7" s="16">
        <f>'Flujo de caja Operacion PPR'!L34</f>
        <v>5433844.1723385826</v>
      </c>
      <c r="N7" s="16">
        <f>'Flujo de caja Operacion PPR'!M34</f>
        <v>5587352.8261393206</v>
      </c>
      <c r="O7" s="16">
        <f>'Flujo de caja Operacion PPR'!N34</f>
        <v>5918933.6897952603</v>
      </c>
      <c r="P7" s="16">
        <f>'Flujo de caja Operacion PPR'!O34</f>
        <v>6082794.0776763987</v>
      </c>
      <c r="Q7" s="16">
        <f>'Flujo de caja Operacion PPR'!P34</f>
        <v>7273920.3928545788</v>
      </c>
      <c r="R7" s="16">
        <f>'Flujo de caja Operacion PPR'!Q34</f>
        <v>7476275.447003562</v>
      </c>
      <c r="S7" s="16">
        <f>'Flujo de caja Operacion PPR'!R34</f>
        <v>7894554.5706133312</v>
      </c>
      <c r="T7" s="16">
        <f>'Flujo de caja Operacion PPR'!S34</f>
        <v>8110190.9778688587</v>
      </c>
      <c r="U7" s="16">
        <f>'Flujo de caja Operacion PPR'!T34</f>
        <v>9144105.4981601033</v>
      </c>
      <c r="V7" s="16">
        <f>'Flujo de caja Operacion PPR'!U34</f>
        <v>9394567.3754582554</v>
      </c>
      <c r="W7" s="16">
        <f>'Flujo de caja Operacion PPR'!V34</f>
        <v>9116795.2158037685</v>
      </c>
      <c r="X7" s="16">
        <f>'Flujo de caja Operacion PPR'!W34</f>
        <v>9366875.1997825485</v>
      </c>
      <c r="Y7" s="16">
        <f>'Flujo de caja Operacion PPR'!X34</f>
        <v>9624190.1880687606</v>
      </c>
      <c r="Z7" s="16">
        <f>'Flujo de caja Operacion PPR'!Y34</f>
        <v>9888965.9150761049</v>
      </c>
    </row>
    <row r="8" spans="2:26" x14ac:dyDescent="0.25">
      <c r="B8" s="18" t="s">
        <v>65</v>
      </c>
      <c r="C8" s="16">
        <f>-Resultados!C13*0.3</f>
        <v>-6869129.9486472858</v>
      </c>
      <c r="D8" s="16">
        <f>-Resultados!C13*0.7</f>
        <v>-16027969.880176999</v>
      </c>
      <c r="E8" s="16">
        <f>'[1]Flujo de caja Inversiones'!G6</f>
        <v>0</v>
      </c>
      <c r="F8" s="16">
        <f>'[1]Flujo de caja Inversiones'!H6</f>
        <v>0</v>
      </c>
      <c r="G8" s="16">
        <f>'[1]Flujo de caja Inversiones'!I6</f>
        <v>0</v>
      </c>
      <c r="H8" s="16">
        <f>'[1]Flujo de caja Inversiones'!J6</f>
        <v>0</v>
      </c>
      <c r="I8" s="16">
        <f>'[1]Flujo de caja Inversiones'!K6</f>
        <v>0</v>
      </c>
      <c r="J8" s="16">
        <f>'[1]Flujo de caja Inversiones'!L6</f>
        <v>0</v>
      </c>
      <c r="K8" s="16">
        <f>'[1]Flujo de caja Inversiones'!M6</f>
        <v>0</v>
      </c>
      <c r="L8" s="16">
        <f>'[1]Flujo de caja Inversiones'!N6</f>
        <v>0</v>
      </c>
      <c r="M8" s="16">
        <f>'[1]Flujo de caja Inversiones'!O6</f>
        <v>0</v>
      </c>
      <c r="N8" s="16">
        <f>'[1]Flujo de caja Inversiones'!P6</f>
        <v>0</v>
      </c>
      <c r="O8" s="16">
        <f>'[1]Flujo de caja Inversiones'!Q6</f>
        <v>0</v>
      </c>
      <c r="P8" s="16">
        <f>'[1]Flujo de caja Inversiones'!R6</f>
        <v>0</v>
      </c>
      <c r="Q8" s="16">
        <f>'[1]Flujo de caja Inversiones'!S6</f>
        <v>0</v>
      </c>
      <c r="R8" s="16">
        <f>'[1]Flujo de caja Inversiones'!T6</f>
        <v>0</v>
      </c>
      <c r="S8" s="16">
        <f>'[1]Flujo de caja Inversiones'!U6</f>
        <v>0</v>
      </c>
      <c r="T8" s="16">
        <f>'[1]Flujo de caja Inversiones'!V6</f>
        <v>0</v>
      </c>
      <c r="U8" s="16">
        <f>'[1]Flujo de caja Inversiones'!W6</f>
        <v>0</v>
      </c>
      <c r="V8" s="16">
        <f>'[1]Flujo de caja Inversiones'!X6</f>
        <v>0</v>
      </c>
      <c r="W8" s="16">
        <f>'[1]Flujo de caja Inversiones'!Y6</f>
        <v>0</v>
      </c>
      <c r="X8" s="16">
        <f>'[1]Flujo de caja Inversiones'!Z6</f>
        <v>0</v>
      </c>
      <c r="Y8" s="16">
        <f>'[1]Flujo de caja Inversiones'!AA6</f>
        <v>0</v>
      </c>
      <c r="Z8" s="16">
        <f>'[1]Flujo de caja Inversiones'!AB6</f>
        <v>0</v>
      </c>
    </row>
    <row r="9" spans="2:26" x14ac:dyDescent="0.25">
      <c r="B9" s="26"/>
    </row>
    <row r="10" spans="2:26" x14ac:dyDescent="0.25">
      <c r="B10" s="20" t="s">
        <v>66</v>
      </c>
      <c r="C10" s="27">
        <f>C7+C8</f>
        <v>-6869129.9486472858</v>
      </c>
      <c r="D10" s="27">
        <f t="shared" ref="D10:Z10" si="0">D7+D8</f>
        <v>-16027969.880176999</v>
      </c>
      <c r="E10" s="27">
        <f t="shared" si="0"/>
        <v>2989809.3153589456</v>
      </c>
      <c r="F10" s="27">
        <f t="shared" si="0"/>
        <v>3210703.4965661345</v>
      </c>
      <c r="G10" s="27">
        <f t="shared" si="0"/>
        <v>3296209.1481045266</v>
      </c>
      <c r="H10" s="27">
        <f t="shared" si="0"/>
        <v>3511456.8323264276</v>
      </c>
      <c r="I10" s="27">
        <f t="shared" si="0"/>
        <v>4241565.7270423928</v>
      </c>
      <c r="J10" s="27">
        <f t="shared" si="0"/>
        <v>4502059.3000996644</v>
      </c>
      <c r="K10" s="27">
        <f t="shared" si="0"/>
        <v>4352207.301629222</v>
      </c>
      <c r="L10" s="27">
        <f t="shared" si="0"/>
        <v>4474812.8088625334</v>
      </c>
      <c r="M10" s="27">
        <f t="shared" si="0"/>
        <v>5433844.1723385826</v>
      </c>
      <c r="N10" s="27">
        <f t="shared" si="0"/>
        <v>5587352.8261393206</v>
      </c>
      <c r="O10" s="27">
        <f t="shared" si="0"/>
        <v>5918933.6897952603</v>
      </c>
      <c r="P10" s="27">
        <f t="shared" si="0"/>
        <v>6082794.0776763987</v>
      </c>
      <c r="Q10" s="27">
        <f t="shared" si="0"/>
        <v>7273920.3928545788</v>
      </c>
      <c r="R10" s="27">
        <f t="shared" si="0"/>
        <v>7476275.447003562</v>
      </c>
      <c r="S10" s="27">
        <f t="shared" si="0"/>
        <v>7894554.5706133312</v>
      </c>
      <c r="T10" s="27">
        <f t="shared" si="0"/>
        <v>8110190.9778688587</v>
      </c>
      <c r="U10" s="27">
        <f t="shared" si="0"/>
        <v>9144105.4981601033</v>
      </c>
      <c r="V10" s="27">
        <f t="shared" si="0"/>
        <v>9394567.3754582554</v>
      </c>
      <c r="W10" s="27">
        <f t="shared" si="0"/>
        <v>9116795.2158037685</v>
      </c>
      <c r="X10" s="27">
        <f t="shared" si="0"/>
        <v>9366875.1997825485</v>
      </c>
      <c r="Y10" s="27">
        <f t="shared" si="0"/>
        <v>9624190.1880687606</v>
      </c>
      <c r="Z10" s="27">
        <f t="shared" si="0"/>
        <v>9888965.9150761049</v>
      </c>
    </row>
    <row r="11" spans="2:26" x14ac:dyDescent="0.25">
      <c r="B11" s="26"/>
    </row>
    <row r="12" spans="2:26" x14ac:dyDescent="0.25">
      <c r="B12" s="26"/>
    </row>
    <row r="13" spans="2:26" x14ac:dyDescent="0.25">
      <c r="B13" s="26"/>
    </row>
    <row r="14" spans="2:26" x14ac:dyDescent="0.25">
      <c r="B14" s="20" t="s">
        <v>67</v>
      </c>
      <c r="C14" s="28">
        <f>IRR(C10:X10)</f>
        <v>0.17533165912162341</v>
      </c>
    </row>
    <row r="15" spans="2:26" x14ac:dyDescent="0.25">
      <c r="B15" s="29"/>
      <c r="C15" s="30"/>
    </row>
    <row r="16" spans="2:26" x14ac:dyDescent="0.25">
      <c r="B16" s="26"/>
    </row>
    <row r="17" spans="2:26" ht="30" customHeight="1" x14ac:dyDescent="0.25">
      <c r="B17" s="155" t="s">
        <v>68</v>
      </c>
      <c r="C17" s="156"/>
      <c r="D17" s="156"/>
      <c r="E17" s="156"/>
      <c r="F17" s="156"/>
      <c r="G17" s="156"/>
      <c r="H17" s="156"/>
      <c r="I17" s="156"/>
      <c r="J17" s="157"/>
    </row>
    <row r="18" spans="2:26" x14ac:dyDescent="0.25">
      <c r="B18" s="2"/>
      <c r="C18" s="2"/>
      <c r="D18" s="2"/>
      <c r="E18" s="2"/>
      <c r="F18" s="2"/>
      <c r="G18" s="2"/>
      <c r="H18" s="2"/>
      <c r="I18" s="2"/>
      <c r="J18" s="2"/>
    </row>
    <row r="19" spans="2:26" x14ac:dyDescent="0.25">
      <c r="B19" s="2"/>
      <c r="C19" s="2"/>
      <c r="D19" s="2"/>
      <c r="E19" s="2"/>
      <c r="F19" s="2"/>
      <c r="G19" s="2"/>
      <c r="H19" s="2"/>
      <c r="I19" s="2"/>
      <c r="J19" s="2"/>
    </row>
    <row r="20" spans="2:26" x14ac:dyDescent="0.25">
      <c r="B20" s="2" t="s">
        <v>69</v>
      </c>
      <c r="C20" s="31">
        <v>2.8299999999999999E-2</v>
      </c>
      <c r="D20" s="2" t="s">
        <v>70</v>
      </c>
      <c r="E20" s="2"/>
      <c r="F20" s="2"/>
      <c r="G20" s="2"/>
      <c r="H20" s="2"/>
      <c r="I20" s="2"/>
      <c r="J20" s="2"/>
    </row>
    <row r="21" spans="2:26" x14ac:dyDescent="0.25">
      <c r="B21" s="2" t="s">
        <v>71</v>
      </c>
      <c r="C21" s="31">
        <v>9.8000000000000004E-2</v>
      </c>
      <c r="D21" s="2" t="s">
        <v>72</v>
      </c>
      <c r="E21" s="2"/>
      <c r="F21" s="2"/>
      <c r="G21" s="2"/>
      <c r="H21" s="2"/>
      <c r="I21" s="2"/>
      <c r="J21" s="2"/>
    </row>
    <row r="22" spans="2:26" x14ac:dyDescent="0.25">
      <c r="B22" s="2" t="s">
        <v>73</v>
      </c>
      <c r="C22" s="2">
        <v>0.56000000000000005</v>
      </c>
      <c r="D22" s="2" t="s">
        <v>74</v>
      </c>
      <c r="E22" s="2"/>
      <c r="F22" s="2"/>
      <c r="G22" s="2"/>
      <c r="H22" s="2"/>
      <c r="I22" s="2"/>
      <c r="J22" s="2"/>
    </row>
    <row r="23" spans="2:26" x14ac:dyDescent="0.25">
      <c r="B23" s="2" t="s">
        <v>75</v>
      </c>
      <c r="C23" s="2">
        <v>554</v>
      </c>
      <c r="D23" s="2" t="s">
        <v>76</v>
      </c>
      <c r="E23" s="2"/>
      <c r="F23" s="2"/>
      <c r="G23" s="2"/>
      <c r="H23" s="2"/>
      <c r="I23" s="2"/>
      <c r="J23" s="2"/>
    </row>
    <row r="24" spans="2:26" x14ac:dyDescent="0.25">
      <c r="B24" s="2"/>
      <c r="C24" s="2"/>
      <c r="D24" s="2"/>
      <c r="E24" s="2"/>
      <c r="F24" s="2"/>
      <c r="G24" s="2"/>
      <c r="H24" s="2"/>
      <c r="I24" s="2"/>
      <c r="J24" s="2"/>
    </row>
    <row r="25" spans="2:26" x14ac:dyDescent="0.25">
      <c r="B25" s="2" t="s">
        <v>77</v>
      </c>
      <c r="C25" s="19">
        <f>(C20+C22*(C21-C20))</f>
        <v>6.7332000000000003E-2</v>
      </c>
      <c r="D25" s="2"/>
      <c r="E25" s="2"/>
      <c r="F25" s="2"/>
      <c r="G25" s="2"/>
      <c r="H25" s="2"/>
      <c r="I25" s="2"/>
      <c r="J25" s="2"/>
    </row>
    <row r="26" spans="2:26" x14ac:dyDescent="0.25">
      <c r="B26" s="32" t="s">
        <v>78</v>
      </c>
      <c r="C26" s="33">
        <f>C23/10000+C25</f>
        <v>0.12273200000000001</v>
      </c>
      <c r="D26" s="2"/>
      <c r="E26" s="2"/>
      <c r="F26" s="2"/>
      <c r="G26" s="2"/>
      <c r="H26" s="2"/>
      <c r="I26" s="2"/>
      <c r="J26" s="2"/>
    </row>
    <row r="27" spans="2:26" x14ac:dyDescent="0.25">
      <c r="B27" s="34" t="s">
        <v>79</v>
      </c>
      <c r="C27" s="35">
        <v>0.1227</v>
      </c>
      <c r="D27" s="2"/>
      <c r="E27" s="2"/>
      <c r="F27" s="2"/>
      <c r="G27" s="2"/>
      <c r="H27" s="2"/>
      <c r="I27" s="2"/>
      <c r="J27" s="2"/>
    </row>
    <row r="29" spans="2:26" x14ac:dyDescent="0.25">
      <c r="C29" s="36"/>
      <c r="D29" s="36"/>
      <c r="E29" s="36"/>
      <c r="F29" s="36"/>
      <c r="G29" s="36"/>
      <c r="H29" s="36"/>
      <c r="I29" s="36"/>
      <c r="J29" s="36"/>
      <c r="K29" s="36"/>
      <c r="L29" s="36"/>
      <c r="M29" s="36"/>
      <c r="N29" s="36"/>
      <c r="O29" s="36"/>
      <c r="P29" s="36"/>
      <c r="Q29" s="36"/>
      <c r="R29" s="36"/>
      <c r="S29" s="36"/>
      <c r="T29" s="36"/>
      <c r="U29" s="36"/>
      <c r="V29" s="36"/>
      <c r="W29" s="36"/>
      <c r="X29" s="36"/>
      <c r="Y29" s="36"/>
      <c r="Z29" s="36"/>
    </row>
    <row r="31" spans="2:26" x14ac:dyDescent="0.25">
      <c r="C31" s="37"/>
      <c r="D31" s="37"/>
      <c r="E31" s="37"/>
      <c r="F31" s="37"/>
      <c r="G31" s="37"/>
      <c r="H31" s="37"/>
      <c r="I31" s="37"/>
      <c r="J31" s="37"/>
      <c r="K31" s="37"/>
      <c r="L31" s="37"/>
      <c r="M31" s="37"/>
      <c r="N31" s="37"/>
      <c r="O31" s="37"/>
      <c r="P31" s="37"/>
      <c r="Q31" s="37"/>
      <c r="R31" s="37"/>
      <c r="S31" s="37"/>
      <c r="T31" s="37"/>
      <c r="U31" s="37"/>
      <c r="V31" s="37"/>
      <c r="W31" s="37"/>
      <c r="X31" s="37"/>
      <c r="Y31" s="37"/>
      <c r="Z31" s="37"/>
    </row>
    <row r="33" spans="2:3" x14ac:dyDescent="0.25">
      <c r="B33" s="1" t="s">
        <v>41</v>
      </c>
      <c r="C33" s="38">
        <f>NPV(C26,D10:X10)+C10</f>
        <v>10088538.439327367</v>
      </c>
    </row>
  </sheetData>
  <mergeCells count="2">
    <mergeCell ref="B4:X4"/>
    <mergeCell ref="B17:J17"/>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Leyenda</vt:lpstr>
      <vt:lpstr>Riesgos</vt:lpstr>
      <vt:lpstr>Hoja8</vt:lpstr>
      <vt:lpstr>Resultados</vt:lpstr>
      <vt:lpstr>Flujo Proyecto</vt:lpstr>
      <vt:lpstr>Tasa de descuento</vt:lpstr>
      <vt:lpstr>Ing. Reducción Subsidios</vt:lpstr>
      <vt:lpstr>Flujo de caja Operacion PPR</vt:lpstr>
      <vt:lpstr>Flujo Total de Caja PPR</vt:lpstr>
      <vt:lpstr>Flujo de caja Operacion 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Santos Cevallos</dc:creator>
  <cp:lastModifiedBy>Andres Yepez</cp:lastModifiedBy>
  <dcterms:created xsi:type="dcterms:W3CDTF">2018-12-01T01:26:46Z</dcterms:created>
  <dcterms:modified xsi:type="dcterms:W3CDTF">2020-03-08T21:11:16Z</dcterms:modified>
</cp:coreProperties>
</file>