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yepe\Desktop\"/>
    </mc:Choice>
  </mc:AlternateContent>
  <xr:revisionPtr revIDLastSave="0" documentId="8_{EC28BD89-E33D-4387-B9F2-8F8816B6B9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cepto Ingresos Incrementales" sheetId="13" r:id="rId1"/>
    <sheet name="Ing Mejora Recaudacion" sheetId="4" r:id="rId2"/>
    <sheet name="Incremento facturación cero" sheetId="1" r:id="rId3"/>
    <sheet name="Respaldo (I) cuentas cero" sheetId="2" r:id="rId4"/>
    <sheet name="Ingreso por Cobertura" sheetId="7" r:id="rId5"/>
    <sheet name="Ing. Cambio metod ARCA" sheetId="8" r:id="rId6"/>
    <sheet name="Ing. Reducción Subsidios" sheetId="9" r:id="rId7"/>
    <sheet name="INVERSIONES" sheetId="43" r:id="rId8"/>
    <sheet name="FLUJO CAJA " sheetId="44" r:id="rId9"/>
    <sheet name="FLUJO ALIADO Y EP" sheetId="36" r:id="rId10"/>
    <sheet name="G&amp;P " sheetId="38" r:id="rId11"/>
    <sheet name="Financiamiento " sheetId="42" r:id="rId12"/>
    <sheet name="Resumen TIR" sheetId="27" r:id="rId13"/>
    <sheet name="Tasa de descuento" sheetId="19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36" l="1"/>
  <c r="E26" i="27" l="1"/>
  <c r="E25" i="27"/>
  <c r="C38" i="36"/>
  <c r="C104" i="36"/>
  <c r="C77" i="36"/>
  <c r="F44" i="43" l="1"/>
  <c r="F43" i="43"/>
  <c r="E44" i="43"/>
  <c r="E43" i="43"/>
  <c r="E42" i="43"/>
  <c r="F11" i="8" l="1"/>
  <c r="G83" i="36" l="1"/>
  <c r="F83" i="36"/>
  <c r="E83" i="36"/>
  <c r="D83" i="36"/>
  <c r="N82" i="36"/>
  <c r="T27" i="4" l="1"/>
  <c r="T24" i="4"/>
  <c r="J27" i="4"/>
  <c r="M7" i="36"/>
  <c r="L7" i="36"/>
  <c r="K7" i="36"/>
  <c r="J7" i="36"/>
  <c r="I7" i="36"/>
  <c r="H7" i="36"/>
  <c r="G7" i="36"/>
  <c r="F7" i="36"/>
  <c r="E7" i="36"/>
  <c r="D7" i="36"/>
  <c r="C7" i="36"/>
  <c r="E39" i="43"/>
  <c r="E33" i="43"/>
  <c r="E32" i="43"/>
  <c r="E31" i="43"/>
  <c r="AE6" i="43"/>
  <c r="AE27" i="43" s="1"/>
  <c r="AD6" i="43"/>
  <c r="AC6" i="43"/>
  <c r="AB6" i="43"/>
  <c r="AA6" i="43"/>
  <c r="AA27" i="43" s="1"/>
  <c r="Z6" i="43"/>
  <c r="Z27" i="43" s="1"/>
  <c r="Y6" i="43"/>
  <c r="X6" i="43"/>
  <c r="X27" i="43" s="1"/>
  <c r="W6" i="43"/>
  <c r="W27" i="43" s="1"/>
  <c r="V6" i="43"/>
  <c r="V27" i="43" s="1"/>
  <c r="AD27" i="43"/>
  <c r="AC27" i="43"/>
  <c r="AB27" i="43"/>
  <c r="Y27" i="43"/>
  <c r="U27" i="43"/>
  <c r="T29" i="43"/>
  <c r="R27" i="43"/>
  <c r="Q27" i="43"/>
  <c r="P27" i="43"/>
  <c r="O27" i="43"/>
  <c r="N27" i="43"/>
  <c r="M27" i="43"/>
  <c r="L27" i="43"/>
  <c r="AE25" i="43"/>
  <c r="AC25" i="43"/>
  <c r="AB25" i="43"/>
  <c r="W25" i="43"/>
  <c r="T25" i="43"/>
  <c r="AA25" i="43" s="1"/>
  <c r="J25" i="43"/>
  <c r="I25" i="43"/>
  <c r="H25" i="43"/>
  <c r="F25" i="43"/>
  <c r="G25" i="43" s="1"/>
  <c r="AD24" i="43"/>
  <c r="AB24" i="43"/>
  <c r="AA24" i="43"/>
  <c r="T24" i="43"/>
  <c r="Z24" i="43" s="1"/>
  <c r="J24" i="43"/>
  <c r="I24" i="43"/>
  <c r="H24" i="43"/>
  <c r="G24" i="43"/>
  <c r="F24" i="43"/>
  <c r="AC23" i="43"/>
  <c r="AA23" i="43"/>
  <c r="Z23" i="43"/>
  <c r="Y23" i="43"/>
  <c r="T23" i="43"/>
  <c r="X23" i="43" s="1"/>
  <c r="J23" i="43"/>
  <c r="I23" i="43"/>
  <c r="H23" i="43"/>
  <c r="G23" i="43"/>
  <c r="F23" i="43"/>
  <c r="AC22" i="43"/>
  <c r="AB22" i="43"/>
  <c r="AA22" i="43"/>
  <c r="Z22" i="43"/>
  <c r="Y22" i="43"/>
  <c r="X22" i="43"/>
  <c r="T22" i="43"/>
  <c r="AE22" i="43" s="1"/>
  <c r="J22" i="43"/>
  <c r="I22" i="43"/>
  <c r="H22" i="43"/>
  <c r="G22" i="43"/>
  <c r="F22" i="43"/>
  <c r="AE21" i="43"/>
  <c r="AB21" i="43"/>
  <c r="AA21" i="43"/>
  <c r="Z21" i="43"/>
  <c r="Y21" i="43"/>
  <c r="X21" i="43"/>
  <c r="W21" i="43"/>
  <c r="T21" i="43"/>
  <c r="AD21" i="43" s="1"/>
  <c r="H21" i="43"/>
  <c r="G21" i="43"/>
  <c r="F21" i="43"/>
  <c r="AE20" i="43"/>
  <c r="AD20" i="43"/>
  <c r="Y20" i="43"/>
  <c r="W20" i="43"/>
  <c r="V20" i="43"/>
  <c r="T20" i="43"/>
  <c r="AC20" i="43" s="1"/>
  <c r="H20" i="43"/>
  <c r="F20" i="43"/>
  <c r="G20" i="43" s="1"/>
  <c r="AE19" i="43"/>
  <c r="AC19" i="43"/>
  <c r="AB19" i="43"/>
  <c r="X19" i="43"/>
  <c r="W19" i="43"/>
  <c r="T19" i="43"/>
  <c r="AA19" i="43" s="1"/>
  <c r="J19" i="43"/>
  <c r="I19" i="43"/>
  <c r="G19" i="43"/>
  <c r="F19" i="43"/>
  <c r="AC18" i="43"/>
  <c r="AA18" i="43"/>
  <c r="Z18" i="43"/>
  <c r="T18" i="43"/>
  <c r="Y18" i="43" s="1"/>
  <c r="J18" i="43"/>
  <c r="I18" i="43"/>
  <c r="G18" i="43"/>
  <c r="F18" i="43"/>
  <c r="AE17" i="43"/>
  <c r="AB17" i="43"/>
  <c r="AA17" i="43"/>
  <c r="Z17" i="43"/>
  <c r="Y17" i="43"/>
  <c r="X17" i="43"/>
  <c r="W17" i="43"/>
  <c r="T17" i="43"/>
  <c r="V28" i="43" s="1"/>
  <c r="W28" i="43" s="1"/>
  <c r="J17" i="43"/>
  <c r="I17" i="43"/>
  <c r="G17" i="43"/>
  <c r="F17" i="43"/>
  <c r="K16" i="43"/>
  <c r="J16" i="43"/>
  <c r="G16" i="43"/>
  <c r="F16" i="43"/>
  <c r="H15" i="43"/>
  <c r="F15" i="43"/>
  <c r="G15" i="43" s="1"/>
  <c r="AE14" i="43"/>
  <c r="AD14" i="43"/>
  <c r="AC14" i="43"/>
  <c r="AB14" i="43"/>
  <c r="AA14" i="43"/>
  <c r="Z14" i="43"/>
  <c r="Y14" i="43"/>
  <c r="X14" i="43"/>
  <c r="W14" i="43"/>
  <c r="V14" i="43"/>
  <c r="T14" i="43"/>
  <c r="H14" i="43"/>
  <c r="F14" i="43"/>
  <c r="G14" i="43" s="1"/>
  <c r="H13" i="43"/>
  <c r="G13" i="43"/>
  <c r="F13" i="43"/>
  <c r="E12" i="43"/>
  <c r="F12" i="43" s="1"/>
  <c r="X11" i="43"/>
  <c r="T11" i="43"/>
  <c r="I11" i="43"/>
  <c r="F11" i="43"/>
  <c r="G11" i="43" s="1"/>
  <c r="AD10" i="43"/>
  <c r="V10" i="43"/>
  <c r="T10" i="43"/>
  <c r="J10" i="43"/>
  <c r="I10" i="43"/>
  <c r="G10" i="43"/>
  <c r="F10" i="43"/>
  <c r="AE9" i="43"/>
  <c r="AD9" i="43"/>
  <c r="AC9" i="43"/>
  <c r="AB9" i="43"/>
  <c r="AA9" i="43"/>
  <c r="Z9" i="43"/>
  <c r="Y9" i="43"/>
  <c r="X9" i="43"/>
  <c r="T9" i="43"/>
  <c r="Y11" i="43" s="1"/>
  <c r="K9" i="43"/>
  <c r="K27" i="43" s="1"/>
  <c r="J9" i="43"/>
  <c r="I9" i="43"/>
  <c r="F9" i="43"/>
  <c r="G9" i="43" s="1"/>
  <c r="T8" i="43"/>
  <c r="AE10" i="43" s="1"/>
  <c r="J8" i="43"/>
  <c r="J27" i="43" s="1"/>
  <c r="I8" i="43"/>
  <c r="F8" i="43"/>
  <c r="G8" i="43" s="1"/>
  <c r="H7" i="43"/>
  <c r="G7" i="43"/>
  <c r="F7" i="43"/>
  <c r="T6" i="43"/>
  <c r="AB8" i="43" s="1"/>
  <c r="J6" i="43"/>
  <c r="I6" i="43"/>
  <c r="I27" i="43" s="1"/>
  <c r="H6" i="43"/>
  <c r="G6" i="43"/>
  <c r="F6" i="43"/>
  <c r="H5" i="43"/>
  <c r="H27" i="43" s="1"/>
  <c r="F5" i="43"/>
  <c r="F27" i="43" s="1"/>
  <c r="AA8" i="43" l="1"/>
  <c r="G5" i="43"/>
  <c r="AC8" i="43"/>
  <c r="X10" i="43"/>
  <c r="G12" i="43"/>
  <c r="V8" i="43"/>
  <c r="AD8" i="43"/>
  <c r="Y10" i="43"/>
  <c r="AA11" i="43"/>
  <c r="AB18" i="43"/>
  <c r="AD19" i="43"/>
  <c r="X20" i="43"/>
  <c r="AB23" i="43"/>
  <c r="AC24" i="43"/>
  <c r="AD25" i="43"/>
  <c r="T27" i="43"/>
  <c r="W8" i="43"/>
  <c r="AB11" i="43"/>
  <c r="X8" i="43"/>
  <c r="AA10" i="43"/>
  <c r="AC11" i="43"/>
  <c r="AD18" i="43"/>
  <c r="Z20" i="43"/>
  <c r="AD23" i="43"/>
  <c r="W24" i="43"/>
  <c r="AE24" i="43"/>
  <c r="X25" i="43"/>
  <c r="E27" i="43"/>
  <c r="Y8" i="43"/>
  <c r="AB10" i="43"/>
  <c r="V11" i="43"/>
  <c r="AD11" i="43"/>
  <c r="AC17" i="43"/>
  <c r="W18" i="43"/>
  <c r="AE18" i="43"/>
  <c r="Y19" i="43"/>
  <c r="AA20" i="43"/>
  <c r="AC21" i="43"/>
  <c r="AD22" i="43"/>
  <c r="W23" i="43"/>
  <c r="AE23" i="43"/>
  <c r="X24" i="43"/>
  <c r="Y25" i="43"/>
  <c r="Z11" i="43"/>
  <c r="AE8" i="43"/>
  <c r="Z10" i="43"/>
  <c r="Z8" i="43"/>
  <c r="AC10" i="43"/>
  <c r="W11" i="43"/>
  <c r="AE11" i="43"/>
  <c r="AD17" i="43"/>
  <c r="X18" i="43"/>
  <c r="Z19" i="43"/>
  <c r="AB20" i="43"/>
  <c r="V21" i="43"/>
  <c r="W22" i="43"/>
  <c r="Y24" i="43"/>
  <c r="Z25" i="43"/>
  <c r="W10" i="43"/>
  <c r="G27" i="43" l="1"/>
  <c r="F39" i="43" l="1"/>
  <c r="G39" i="43" s="1"/>
  <c r="H39" i="43" s="1"/>
  <c r="I39" i="43" s="1"/>
  <c r="J39" i="43" s="1"/>
  <c r="K39" i="43" s="1"/>
  <c r="L39" i="43" s="1"/>
  <c r="M39" i="43" s="1"/>
  <c r="N39" i="43" s="1"/>
  <c r="O39" i="43" s="1"/>
  <c r="P39" i="43" l="1"/>
  <c r="C10" i="36"/>
  <c r="C81" i="36" s="1"/>
  <c r="I46" i="36" l="1"/>
  <c r="H83" i="36"/>
  <c r="N11" i="44"/>
  <c r="N10" i="44"/>
  <c r="C4" i="44"/>
  <c r="I83" i="36" l="1"/>
  <c r="M8" i="44"/>
  <c r="L8" i="44"/>
  <c r="K8" i="44"/>
  <c r="J8" i="44"/>
  <c r="I8" i="44"/>
  <c r="H8" i="44"/>
  <c r="G8" i="44"/>
  <c r="F8" i="44"/>
  <c r="E8" i="44"/>
  <c r="D8" i="44"/>
  <c r="C7" i="44"/>
  <c r="C90" i="36" s="1"/>
  <c r="M6" i="44"/>
  <c r="J6" i="44"/>
  <c r="I6" i="44"/>
  <c r="G6" i="44"/>
  <c r="F6" i="44"/>
  <c r="D6" i="44"/>
  <c r="K46" i="36" l="1"/>
  <c r="J83" i="36"/>
  <c r="E6" i="44"/>
  <c r="C8" i="44"/>
  <c r="N8" i="44" s="1"/>
  <c r="F20" i="38"/>
  <c r="C48" i="36" s="1"/>
  <c r="C31" i="36"/>
  <c r="D31" i="36" s="1"/>
  <c r="L6" i="44"/>
  <c r="K6" i="44"/>
  <c r="H6" i="44"/>
  <c r="K83" i="36" l="1"/>
  <c r="C32" i="36"/>
  <c r="D7" i="44"/>
  <c r="D90" i="36" s="1"/>
  <c r="C6" i="44"/>
  <c r="P37" i="43"/>
  <c r="K40" i="43"/>
  <c r="E40" i="43"/>
  <c r="H40" i="43"/>
  <c r="F7" i="44"/>
  <c r="N40" i="43"/>
  <c r="L7" i="44"/>
  <c r="I7" i="44"/>
  <c r="M46" i="36" l="1"/>
  <c r="M83" i="36" s="1"/>
  <c r="L83" i="36"/>
  <c r="D9" i="44"/>
  <c r="D13" i="44" s="1"/>
  <c r="F40" i="43"/>
  <c r="N6" i="44"/>
  <c r="C9" i="44"/>
  <c r="C13" i="44" s="1"/>
  <c r="C14" i="44" s="1"/>
  <c r="O40" i="43"/>
  <c r="M7" i="44"/>
  <c r="F90" i="36"/>
  <c r="F9" i="44"/>
  <c r="F13" i="44" s="1"/>
  <c r="G40" i="43"/>
  <c r="E7" i="44"/>
  <c r="L40" i="43"/>
  <c r="J7" i="44"/>
  <c r="J40" i="43"/>
  <c r="H7" i="44"/>
  <c r="L90" i="36"/>
  <c r="L9" i="44"/>
  <c r="L13" i="44" s="1"/>
  <c r="M40" i="43"/>
  <c r="K7" i="44"/>
  <c r="I40" i="43"/>
  <c r="G7" i="44"/>
  <c r="I90" i="36"/>
  <c r="I9" i="44"/>
  <c r="I13" i="44" s="1"/>
  <c r="P38" i="43"/>
  <c r="P40" i="43" l="1"/>
  <c r="J90" i="36"/>
  <c r="J9" i="44"/>
  <c r="J13" i="44" s="1"/>
  <c r="K90" i="36"/>
  <c r="K9" i="44"/>
  <c r="K13" i="44" s="1"/>
  <c r="G90" i="36"/>
  <c r="G9" i="44"/>
  <c r="G13" i="44" s="1"/>
  <c r="H90" i="36"/>
  <c r="H9" i="44"/>
  <c r="H13" i="44" s="1"/>
  <c r="M90" i="36"/>
  <c r="M9" i="44"/>
  <c r="M13" i="44" s="1"/>
  <c r="E90" i="36"/>
  <c r="E9" i="44"/>
  <c r="E13" i="44" s="1"/>
  <c r="N7" i="44"/>
  <c r="N9" i="44" s="1"/>
  <c r="N61" i="36"/>
  <c r="G32" i="38"/>
  <c r="G33" i="38" s="1"/>
  <c r="G34" i="38" s="1"/>
  <c r="G35" i="38" s="1"/>
  <c r="D67" i="36" s="1"/>
  <c r="F32" i="38"/>
  <c r="F33" i="38" s="1"/>
  <c r="F34" i="38" s="1"/>
  <c r="F35" i="38" s="1"/>
  <c r="C67" i="36" s="1"/>
  <c r="D32" i="36"/>
  <c r="N13" i="44" l="1"/>
  <c r="F93" i="36" l="1"/>
  <c r="D93" i="36"/>
  <c r="C83" i="36"/>
  <c r="C93" i="36" s="1"/>
  <c r="D140" i="42"/>
  <c r="O138" i="42"/>
  <c r="N138" i="42"/>
  <c r="M138" i="42"/>
  <c r="L138" i="42"/>
  <c r="K138" i="42"/>
  <c r="J138" i="42"/>
  <c r="I138" i="42"/>
  <c r="H138" i="42"/>
  <c r="G138" i="42"/>
  <c r="F138" i="42"/>
  <c r="E138" i="42"/>
  <c r="D138" i="42"/>
  <c r="O137" i="42"/>
  <c r="N137" i="42"/>
  <c r="M137" i="42"/>
  <c r="L137" i="42"/>
  <c r="K137" i="42"/>
  <c r="J137" i="42"/>
  <c r="I137" i="42"/>
  <c r="H137" i="42"/>
  <c r="G137" i="42"/>
  <c r="F137" i="42"/>
  <c r="E137" i="42"/>
  <c r="D137" i="42"/>
  <c r="P136" i="42"/>
  <c r="P137" i="42" s="1"/>
  <c r="C128" i="42"/>
  <c r="C126" i="42"/>
  <c r="D116" i="42"/>
  <c r="O114" i="42"/>
  <c r="N114" i="42"/>
  <c r="M114" i="42"/>
  <c r="L114" i="42"/>
  <c r="K114" i="42"/>
  <c r="J114" i="42"/>
  <c r="I114" i="42"/>
  <c r="H114" i="42"/>
  <c r="G114" i="42"/>
  <c r="F114" i="42"/>
  <c r="E114" i="42"/>
  <c r="D114" i="42"/>
  <c r="O113" i="42"/>
  <c r="N113" i="42"/>
  <c r="M113" i="42"/>
  <c r="L113" i="42"/>
  <c r="K113" i="42"/>
  <c r="J113" i="42"/>
  <c r="I113" i="42"/>
  <c r="H113" i="42"/>
  <c r="G113" i="42"/>
  <c r="F113" i="42"/>
  <c r="E113" i="42"/>
  <c r="D113" i="42"/>
  <c r="P112" i="42"/>
  <c r="Q112" i="42" s="1"/>
  <c r="C104" i="42"/>
  <c r="C102" i="42"/>
  <c r="D92" i="42"/>
  <c r="O90" i="42"/>
  <c r="N90" i="42"/>
  <c r="M90" i="42"/>
  <c r="L90" i="42"/>
  <c r="K90" i="42"/>
  <c r="J90" i="42"/>
  <c r="I90" i="42"/>
  <c r="H90" i="42"/>
  <c r="G90" i="42"/>
  <c r="F90" i="42"/>
  <c r="E90" i="42"/>
  <c r="D90" i="42"/>
  <c r="O89" i="42"/>
  <c r="N89" i="42"/>
  <c r="M89" i="42"/>
  <c r="L89" i="42"/>
  <c r="K89" i="42"/>
  <c r="J89" i="42"/>
  <c r="I89" i="42"/>
  <c r="H89" i="42"/>
  <c r="G89" i="42"/>
  <c r="F89" i="42"/>
  <c r="E89" i="42"/>
  <c r="D89" i="42"/>
  <c r="Q88" i="42"/>
  <c r="P88" i="42"/>
  <c r="P90" i="42" s="1"/>
  <c r="C80" i="42"/>
  <c r="C78" i="42"/>
  <c r="D68" i="42"/>
  <c r="O66" i="42"/>
  <c r="N66" i="42"/>
  <c r="M66" i="42"/>
  <c r="L66" i="42"/>
  <c r="K66" i="42"/>
  <c r="J66" i="42"/>
  <c r="I66" i="42"/>
  <c r="H66" i="42"/>
  <c r="G66" i="42"/>
  <c r="F66" i="42"/>
  <c r="E66" i="42"/>
  <c r="D66" i="42"/>
  <c r="O65" i="42"/>
  <c r="N65" i="42"/>
  <c r="M65" i="42"/>
  <c r="L65" i="42"/>
  <c r="K65" i="42"/>
  <c r="J65" i="42"/>
  <c r="I65" i="42"/>
  <c r="H65" i="42"/>
  <c r="G65" i="42"/>
  <c r="F65" i="42"/>
  <c r="E65" i="42"/>
  <c r="D65" i="42"/>
  <c r="P64" i="42"/>
  <c r="C62" i="42"/>
  <c r="C86" i="42" s="1"/>
  <c r="C110" i="42" s="1"/>
  <c r="C134" i="42" s="1"/>
  <c r="C56" i="42"/>
  <c r="C54" i="42"/>
  <c r="C51" i="42"/>
  <c r="D44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O41" i="42"/>
  <c r="O45" i="42" s="1"/>
  <c r="N41" i="42"/>
  <c r="M41" i="42"/>
  <c r="M45" i="42" s="1"/>
  <c r="L41" i="42"/>
  <c r="K41" i="42"/>
  <c r="K45" i="42" s="1"/>
  <c r="J41" i="42"/>
  <c r="I41" i="42"/>
  <c r="I45" i="42" s="1"/>
  <c r="H41" i="42"/>
  <c r="H45" i="42" s="1"/>
  <c r="G41" i="42"/>
  <c r="G39" i="42" s="1"/>
  <c r="G44" i="42" s="1"/>
  <c r="F41" i="42"/>
  <c r="E41" i="42"/>
  <c r="E45" i="42" s="1"/>
  <c r="D41" i="42"/>
  <c r="P40" i="42"/>
  <c r="P42" i="42" s="1"/>
  <c r="K39" i="42"/>
  <c r="K44" i="42" s="1"/>
  <c r="I39" i="42"/>
  <c r="I44" i="42" s="1"/>
  <c r="C34" i="42"/>
  <c r="C33" i="42"/>
  <c r="C57" i="42" s="1"/>
  <c r="C32" i="42"/>
  <c r="C30" i="42"/>
  <c r="O17" i="42"/>
  <c r="N17" i="42"/>
  <c r="M17" i="42"/>
  <c r="L17" i="42"/>
  <c r="K17" i="42"/>
  <c r="J17" i="42"/>
  <c r="I17" i="42"/>
  <c r="H17" i="42"/>
  <c r="G17" i="42"/>
  <c r="F17" i="42"/>
  <c r="E17" i="42"/>
  <c r="D17" i="42"/>
  <c r="O16" i="42"/>
  <c r="N16" i="42"/>
  <c r="M16" i="42"/>
  <c r="L16" i="42"/>
  <c r="K16" i="42"/>
  <c r="J16" i="42"/>
  <c r="I16" i="42"/>
  <c r="H16" i="42"/>
  <c r="G16" i="42"/>
  <c r="F16" i="42"/>
  <c r="E16" i="42"/>
  <c r="D16" i="42"/>
  <c r="P15" i="42"/>
  <c r="Q15" i="42" s="1"/>
  <c r="N8" i="42"/>
  <c r="M8" i="42"/>
  <c r="L8" i="42"/>
  <c r="K8" i="42"/>
  <c r="J8" i="42"/>
  <c r="I8" i="42"/>
  <c r="H8" i="42"/>
  <c r="C124" i="42" s="1"/>
  <c r="G8" i="42"/>
  <c r="C100" i="42" s="1"/>
  <c r="F8" i="42"/>
  <c r="C76" i="42" s="1"/>
  <c r="E8" i="42"/>
  <c r="C52" i="42" s="1"/>
  <c r="D8" i="42"/>
  <c r="C28" i="42" s="1"/>
  <c r="D7" i="42"/>
  <c r="D6" i="42"/>
  <c r="E5" i="42"/>
  <c r="F5" i="42" s="1"/>
  <c r="M93" i="36" l="1"/>
  <c r="H93" i="36"/>
  <c r="J93" i="36"/>
  <c r="K93" i="36"/>
  <c r="G93" i="36"/>
  <c r="I93" i="36"/>
  <c r="L93" i="36"/>
  <c r="L39" i="42"/>
  <c r="L44" i="42" s="1"/>
  <c r="L63" i="42"/>
  <c r="F67" i="42" s="1"/>
  <c r="J39" i="42"/>
  <c r="D43" i="42" s="1"/>
  <c r="Q40" i="42"/>
  <c r="D19" i="42"/>
  <c r="P114" i="42"/>
  <c r="N83" i="36"/>
  <c r="C50" i="36"/>
  <c r="D50" i="36"/>
  <c r="E50" i="36"/>
  <c r="E93" i="36"/>
  <c r="Q17" i="42"/>
  <c r="Q16" i="42"/>
  <c r="R15" i="42"/>
  <c r="F6" i="42"/>
  <c r="F7" i="42"/>
  <c r="E6" i="42"/>
  <c r="E7" i="42"/>
  <c r="F43" i="42"/>
  <c r="G5" i="42"/>
  <c r="P16" i="42"/>
  <c r="P17" i="42"/>
  <c r="G45" i="42"/>
  <c r="C8" i="42"/>
  <c r="D46" i="42"/>
  <c r="C81" i="42"/>
  <c r="C58" i="42"/>
  <c r="E43" i="42"/>
  <c r="O39" i="42"/>
  <c r="G46" i="42"/>
  <c r="E44" i="42"/>
  <c r="D45" i="42"/>
  <c r="L45" i="42"/>
  <c r="C35" i="42"/>
  <c r="H39" i="42"/>
  <c r="P41" i="42"/>
  <c r="P39" i="42" s="1"/>
  <c r="F44" i="42"/>
  <c r="J44" i="42"/>
  <c r="M39" i="42"/>
  <c r="Q41" i="42"/>
  <c r="F45" i="42"/>
  <c r="J45" i="42"/>
  <c r="N45" i="42"/>
  <c r="H63" i="42"/>
  <c r="N63" i="42" s="1"/>
  <c r="P66" i="42"/>
  <c r="P65" i="42"/>
  <c r="C75" i="42"/>
  <c r="I93" i="42" s="1"/>
  <c r="O69" i="42"/>
  <c r="G69" i="42"/>
  <c r="I63" i="42"/>
  <c r="O63" i="42" s="1"/>
  <c r="Q64" i="42"/>
  <c r="E69" i="42"/>
  <c r="E68" i="42"/>
  <c r="I69" i="42"/>
  <c r="M69" i="42"/>
  <c r="K69" i="42"/>
  <c r="J63" i="42"/>
  <c r="F68" i="42"/>
  <c r="F69" i="42"/>
  <c r="J69" i="42"/>
  <c r="N69" i="42"/>
  <c r="G63" i="42"/>
  <c r="K63" i="42"/>
  <c r="F92" i="42"/>
  <c r="D69" i="42"/>
  <c r="H69" i="42"/>
  <c r="L69" i="42"/>
  <c r="Q90" i="42"/>
  <c r="Q89" i="42"/>
  <c r="R88" i="42"/>
  <c r="E92" i="42"/>
  <c r="H93" i="42"/>
  <c r="P89" i="42"/>
  <c r="R112" i="42"/>
  <c r="Q114" i="42"/>
  <c r="Q113" i="42"/>
  <c r="P113" i="42"/>
  <c r="E116" i="42"/>
  <c r="F116" i="42"/>
  <c r="P138" i="42"/>
  <c r="Q136" i="42"/>
  <c r="E140" i="42"/>
  <c r="F140" i="42"/>
  <c r="N93" i="36" l="1"/>
  <c r="L68" i="42"/>
  <c r="N93" i="42"/>
  <c r="J87" i="42"/>
  <c r="J93" i="42"/>
  <c r="D93" i="42"/>
  <c r="M93" i="42"/>
  <c r="E93" i="42"/>
  <c r="F93" i="42"/>
  <c r="L93" i="42"/>
  <c r="E46" i="42"/>
  <c r="P87" i="42"/>
  <c r="P92" i="42" s="1"/>
  <c r="Q42" i="42"/>
  <c r="Q39" i="42" s="1"/>
  <c r="R40" i="42"/>
  <c r="N50" i="36"/>
  <c r="P44" i="42"/>
  <c r="J43" i="42"/>
  <c r="N68" i="42"/>
  <c r="R114" i="42"/>
  <c r="R113" i="42"/>
  <c r="S112" i="42"/>
  <c r="S88" i="42"/>
  <c r="R90" i="42"/>
  <c r="R89" i="42"/>
  <c r="Q93" i="42"/>
  <c r="G68" i="42"/>
  <c r="M63" i="42"/>
  <c r="G67" i="42" s="1"/>
  <c r="P69" i="42"/>
  <c r="F19" i="42"/>
  <c r="H44" i="42"/>
  <c r="N39" i="42"/>
  <c r="H43" i="42" s="1"/>
  <c r="H46" i="42" s="1"/>
  <c r="C105" i="42"/>
  <c r="C82" i="42"/>
  <c r="S15" i="42"/>
  <c r="R17" i="42"/>
  <c r="R16" i="42"/>
  <c r="J68" i="42"/>
  <c r="D67" i="42"/>
  <c r="I68" i="42"/>
  <c r="I67" i="42"/>
  <c r="P63" i="42"/>
  <c r="C59" i="42"/>
  <c r="C36" i="42"/>
  <c r="M44" i="42" s="1"/>
  <c r="E19" i="42"/>
  <c r="F46" i="42"/>
  <c r="Q117" i="42"/>
  <c r="P93" i="42"/>
  <c r="D91" i="42"/>
  <c r="J92" i="42"/>
  <c r="O68" i="42"/>
  <c r="H68" i="42"/>
  <c r="H67" i="42"/>
  <c r="Q45" i="42"/>
  <c r="G43" i="42"/>
  <c r="O44" i="42"/>
  <c r="Q138" i="42"/>
  <c r="R136" i="42"/>
  <c r="Q137" i="42"/>
  <c r="P117" i="42"/>
  <c r="K68" i="42"/>
  <c r="E67" i="42"/>
  <c r="Q66" i="42"/>
  <c r="R64" i="42"/>
  <c r="Q65" i="42"/>
  <c r="C99" i="42"/>
  <c r="O93" i="42"/>
  <c r="K93" i="42"/>
  <c r="I87" i="42"/>
  <c r="G93" i="42"/>
  <c r="K87" i="42"/>
  <c r="Q87" i="42" s="1"/>
  <c r="H87" i="42"/>
  <c r="G87" i="42"/>
  <c r="M87" i="42" s="1"/>
  <c r="L87" i="42"/>
  <c r="P45" i="42"/>
  <c r="I43" i="42"/>
  <c r="H5" i="42"/>
  <c r="G7" i="42"/>
  <c r="G6" i="42"/>
  <c r="J91" i="42" l="1"/>
  <c r="Q44" i="42"/>
  <c r="K43" i="42"/>
  <c r="Q63" i="42"/>
  <c r="K67" i="42" s="1"/>
  <c r="S40" i="42"/>
  <c r="R41" i="42"/>
  <c r="R45" i="42" s="1"/>
  <c r="R42" i="42"/>
  <c r="R39" i="42" s="1"/>
  <c r="L43" i="42" s="1"/>
  <c r="Q92" i="42"/>
  <c r="I92" i="42"/>
  <c r="F91" i="42"/>
  <c r="L92" i="42"/>
  <c r="M92" i="42"/>
  <c r="O87" i="42"/>
  <c r="Q69" i="42"/>
  <c r="I46" i="42"/>
  <c r="P68" i="42"/>
  <c r="J67" i="42"/>
  <c r="C129" i="42"/>
  <c r="C130" i="42" s="1"/>
  <c r="C106" i="42"/>
  <c r="N44" i="42"/>
  <c r="S114" i="42"/>
  <c r="S113" i="42"/>
  <c r="T112" i="42"/>
  <c r="C83" i="42"/>
  <c r="C60" i="42"/>
  <c r="T15" i="42"/>
  <c r="S17" i="42"/>
  <c r="S16" i="42"/>
  <c r="R93" i="42"/>
  <c r="R117" i="42"/>
  <c r="R87" i="42"/>
  <c r="L91" i="42" s="1"/>
  <c r="R66" i="42"/>
  <c r="R63" i="42" s="1"/>
  <c r="S64" i="42"/>
  <c r="R65" i="42"/>
  <c r="R137" i="42"/>
  <c r="R138" i="42"/>
  <c r="S136" i="42"/>
  <c r="H92" i="42"/>
  <c r="N87" i="42"/>
  <c r="H91" i="42" s="1"/>
  <c r="H7" i="42"/>
  <c r="H6" i="42"/>
  <c r="I5" i="42"/>
  <c r="G92" i="42"/>
  <c r="G91" i="42"/>
  <c r="K92" i="42"/>
  <c r="K91" i="42"/>
  <c r="E91" i="42"/>
  <c r="C123" i="42"/>
  <c r="K111" i="42"/>
  <c r="G111" i="42"/>
  <c r="J111" i="42"/>
  <c r="J117" i="42"/>
  <c r="I111" i="42"/>
  <c r="L111" i="42"/>
  <c r="R111" i="42" s="1"/>
  <c r="H111" i="42"/>
  <c r="N111" i="42" s="1"/>
  <c r="H117" i="42"/>
  <c r="I117" i="42"/>
  <c r="N117" i="42"/>
  <c r="K117" i="42"/>
  <c r="E117" i="42"/>
  <c r="D117" i="42"/>
  <c r="L117" i="42"/>
  <c r="M117" i="42"/>
  <c r="G117" i="42"/>
  <c r="O117" i="42"/>
  <c r="F117" i="42"/>
  <c r="D94" i="42"/>
  <c r="D70" i="42"/>
  <c r="M68" i="42"/>
  <c r="T88" i="42"/>
  <c r="S90" i="42"/>
  <c r="S89" i="42"/>
  <c r="T40" i="42" l="1"/>
  <c r="S42" i="42"/>
  <c r="S41" i="42"/>
  <c r="S45" i="42" s="1"/>
  <c r="R44" i="42"/>
  <c r="Q68" i="42"/>
  <c r="I116" i="42"/>
  <c r="O111" i="42"/>
  <c r="I7" i="42"/>
  <c r="I6" i="42"/>
  <c r="J5" i="42"/>
  <c r="R116" i="42"/>
  <c r="S93" i="42"/>
  <c r="G116" i="42"/>
  <c r="R69" i="42"/>
  <c r="N116" i="42"/>
  <c r="N92" i="42"/>
  <c r="H116" i="42"/>
  <c r="H115" i="42"/>
  <c r="U15" i="42"/>
  <c r="T17" i="42"/>
  <c r="T16" i="42"/>
  <c r="J46" i="42"/>
  <c r="O92" i="42"/>
  <c r="I91" i="42"/>
  <c r="S87" i="42"/>
  <c r="E94" i="42"/>
  <c r="F94" i="42" s="1"/>
  <c r="G94" i="42" s="1"/>
  <c r="H94" i="42" s="1"/>
  <c r="L116" i="42"/>
  <c r="F115" i="42"/>
  <c r="L115" i="42"/>
  <c r="J116" i="42"/>
  <c r="D115" i="42"/>
  <c r="P111" i="42"/>
  <c r="J115" i="42" s="1"/>
  <c r="E115" i="42"/>
  <c r="K116" i="42"/>
  <c r="Q111" i="42"/>
  <c r="K115" i="42" s="1"/>
  <c r="S138" i="42"/>
  <c r="S137" i="42"/>
  <c r="T136" i="42"/>
  <c r="S66" i="42"/>
  <c r="S65" i="42"/>
  <c r="T64" i="42"/>
  <c r="U112" i="42"/>
  <c r="T114" i="42"/>
  <c r="T113" i="42"/>
  <c r="T90" i="42"/>
  <c r="T89" i="42"/>
  <c r="U88" i="42"/>
  <c r="E70" i="42"/>
  <c r="R68" i="42"/>
  <c r="L67" i="42"/>
  <c r="S117" i="42"/>
  <c r="C107" i="42"/>
  <c r="C84" i="42"/>
  <c r="M111" i="42"/>
  <c r="G115" i="42" s="1"/>
  <c r="J135" i="42"/>
  <c r="P135" i="42" s="1"/>
  <c r="I135" i="42"/>
  <c r="O135" i="42" s="1"/>
  <c r="L135" i="42"/>
  <c r="R135" i="42" s="1"/>
  <c r="H135" i="42"/>
  <c r="N135" i="42" s="1"/>
  <c r="N141" i="42"/>
  <c r="N20" i="42" s="1"/>
  <c r="K141" i="42"/>
  <c r="K20" i="42" s="1"/>
  <c r="G135" i="42"/>
  <c r="L141" i="42"/>
  <c r="L20" i="42" s="1"/>
  <c r="F141" i="42"/>
  <c r="F20" i="42" s="1"/>
  <c r="P141" i="42"/>
  <c r="P20" i="42" s="1"/>
  <c r="K135" i="42"/>
  <c r="D141" i="42"/>
  <c r="E141" i="42"/>
  <c r="E20" i="42" s="1"/>
  <c r="M141" i="42"/>
  <c r="M20" i="42" s="1"/>
  <c r="G141" i="42"/>
  <c r="G20" i="42" s="1"/>
  <c r="O141" i="42"/>
  <c r="O20" i="42" s="1"/>
  <c r="H141" i="42"/>
  <c r="H20" i="42" s="1"/>
  <c r="J141" i="42"/>
  <c r="J20" i="42" s="1"/>
  <c r="I141" i="42"/>
  <c r="I20" i="42" s="1"/>
  <c r="R141" i="42"/>
  <c r="R92" i="42"/>
  <c r="Q141" i="42"/>
  <c r="Q20" i="42" s="1"/>
  <c r="S63" i="42" l="1"/>
  <c r="S39" i="42"/>
  <c r="T87" i="42"/>
  <c r="T111" i="42"/>
  <c r="N115" i="42" s="1"/>
  <c r="U40" i="42"/>
  <c r="T41" i="42"/>
  <c r="T45" i="42" s="1"/>
  <c r="T42" i="42"/>
  <c r="T39" i="42" s="1"/>
  <c r="O140" i="42"/>
  <c r="N140" i="42"/>
  <c r="N19" i="42" s="1"/>
  <c r="S111" i="42"/>
  <c r="M115" i="42" s="1"/>
  <c r="K140" i="42"/>
  <c r="K19" i="42" s="1"/>
  <c r="E139" i="42"/>
  <c r="E18" i="42" s="1"/>
  <c r="L140" i="42"/>
  <c r="L19" i="42" s="1"/>
  <c r="L139" i="42"/>
  <c r="L18" i="42" s="1"/>
  <c r="F139" i="42"/>
  <c r="F18" i="42" s="1"/>
  <c r="T93" i="42"/>
  <c r="T117" i="42"/>
  <c r="S70" i="42"/>
  <c r="S69" i="42"/>
  <c r="D118" i="42"/>
  <c r="I94" i="42"/>
  <c r="J94" i="42" s="1"/>
  <c r="K94" i="42" s="1"/>
  <c r="L94" i="42" s="1"/>
  <c r="O116" i="42"/>
  <c r="P140" i="42"/>
  <c r="M116" i="42"/>
  <c r="T116" i="42"/>
  <c r="S68" i="42"/>
  <c r="M67" i="42"/>
  <c r="S92" i="42"/>
  <c r="M91" i="42"/>
  <c r="R20" i="42"/>
  <c r="K5" i="42"/>
  <c r="J7" i="42"/>
  <c r="J6" i="42"/>
  <c r="I115" i="42"/>
  <c r="R140" i="42"/>
  <c r="R19" i="42" s="1"/>
  <c r="T92" i="42"/>
  <c r="Q135" i="42"/>
  <c r="G140" i="42"/>
  <c r="G19" i="42" s="1"/>
  <c r="M135" i="42"/>
  <c r="F70" i="42"/>
  <c r="V112" i="42"/>
  <c r="U114" i="42"/>
  <c r="U113" i="42"/>
  <c r="T138" i="42"/>
  <c r="U136" i="42"/>
  <c r="T137" i="42"/>
  <c r="K46" i="42"/>
  <c r="U17" i="42"/>
  <c r="U16" i="42"/>
  <c r="V15" i="42"/>
  <c r="N91" i="42"/>
  <c r="I140" i="42"/>
  <c r="I19" i="42" s="1"/>
  <c r="I139" i="42"/>
  <c r="I18" i="42" s="1"/>
  <c r="H140" i="42"/>
  <c r="H19" i="42" s="1"/>
  <c r="H139" i="42"/>
  <c r="H18" i="42" s="1"/>
  <c r="D139" i="42"/>
  <c r="D18" i="42" s="1"/>
  <c r="J139" i="42"/>
  <c r="J18" i="42" s="1"/>
  <c r="J140" i="42"/>
  <c r="J19" i="42" s="1"/>
  <c r="C131" i="42"/>
  <c r="C132" i="42" s="1"/>
  <c r="C108" i="42"/>
  <c r="U90" i="42"/>
  <c r="U89" i="42"/>
  <c r="V88" i="42"/>
  <c r="T66" i="42"/>
  <c r="T65" i="42"/>
  <c r="U64" i="42"/>
  <c r="S141" i="42"/>
  <c r="Q116" i="42"/>
  <c r="P116" i="42"/>
  <c r="D20" i="42"/>
  <c r="O19" i="42" l="1"/>
  <c r="T63" i="42"/>
  <c r="N67" i="42" s="1"/>
  <c r="M43" i="42"/>
  <c r="S44" i="42"/>
  <c r="N43" i="42"/>
  <c r="T44" i="42"/>
  <c r="U111" i="42"/>
  <c r="O115" i="42" s="1"/>
  <c r="V40" i="42"/>
  <c r="U42" i="42"/>
  <c r="U41" i="42"/>
  <c r="U45" i="42" s="1"/>
  <c r="P19" i="42"/>
  <c r="T68" i="42"/>
  <c r="L46" i="42"/>
  <c r="T141" i="42"/>
  <c r="M140" i="42"/>
  <c r="M19" i="42" s="1"/>
  <c r="M94" i="42"/>
  <c r="N94" i="42" s="1"/>
  <c r="S135" i="42"/>
  <c r="W88" i="42"/>
  <c r="V89" i="42"/>
  <c r="V90" i="42"/>
  <c r="W15" i="42"/>
  <c r="V17" i="42"/>
  <c r="V16" i="42"/>
  <c r="U138" i="42"/>
  <c r="V136" i="42"/>
  <c r="U137" i="42"/>
  <c r="V114" i="42"/>
  <c r="V113" i="42"/>
  <c r="W112" i="42"/>
  <c r="Q140" i="42"/>
  <c r="Q19" i="42" s="1"/>
  <c r="S20" i="42"/>
  <c r="K139" i="42"/>
  <c r="K18" i="42" s="1"/>
  <c r="U65" i="42"/>
  <c r="V64" i="42"/>
  <c r="U66" i="42"/>
  <c r="U93" i="42"/>
  <c r="D142" i="42"/>
  <c r="E142" i="42" s="1"/>
  <c r="F142" i="42" s="1"/>
  <c r="T135" i="42"/>
  <c r="G139" i="42"/>
  <c r="G18" i="42" s="1"/>
  <c r="E118" i="42"/>
  <c r="S116" i="42"/>
  <c r="T69" i="42"/>
  <c r="U87" i="42"/>
  <c r="U117" i="42"/>
  <c r="G70" i="42"/>
  <c r="L5" i="42"/>
  <c r="K7" i="42"/>
  <c r="K6" i="42"/>
  <c r="U39" i="42" l="1"/>
  <c r="U44" i="42" s="1"/>
  <c r="U116" i="42"/>
  <c r="U63" i="42"/>
  <c r="U135" i="42"/>
  <c r="U140" i="42" s="1"/>
  <c r="V87" i="42"/>
  <c r="V92" i="42" s="1"/>
  <c r="W40" i="42"/>
  <c r="V41" i="42"/>
  <c r="V45" i="42" s="1"/>
  <c r="V42" i="42"/>
  <c r="T20" i="42"/>
  <c r="G142" i="42"/>
  <c r="H142" i="42" s="1"/>
  <c r="I142" i="42" s="1"/>
  <c r="J142" i="42" s="1"/>
  <c r="K142" i="42" s="1"/>
  <c r="L142" i="42" s="1"/>
  <c r="D21" i="42"/>
  <c r="T140" i="42"/>
  <c r="T19" i="42" s="1"/>
  <c r="N139" i="42"/>
  <c r="N18" i="42" s="1"/>
  <c r="U69" i="42"/>
  <c r="U141" i="42"/>
  <c r="X88" i="42"/>
  <c r="W90" i="42"/>
  <c r="W89" i="42"/>
  <c r="L7" i="42"/>
  <c r="L6" i="42"/>
  <c r="M5" i="42"/>
  <c r="H70" i="42"/>
  <c r="F118" i="42"/>
  <c r="E21" i="42"/>
  <c r="W114" i="42"/>
  <c r="W113" i="42"/>
  <c r="X112" i="42"/>
  <c r="V138" i="42"/>
  <c r="V137" i="42"/>
  <c r="W136" i="42"/>
  <c r="X15" i="42"/>
  <c r="W17" i="42"/>
  <c r="W16" i="42"/>
  <c r="M46" i="42"/>
  <c r="U68" i="42"/>
  <c r="O67" i="42"/>
  <c r="V117" i="42"/>
  <c r="S140" i="42"/>
  <c r="S19" i="42" s="1"/>
  <c r="U92" i="42"/>
  <c r="O91" i="42"/>
  <c r="O94" i="42" s="1"/>
  <c r="V65" i="42"/>
  <c r="W64" i="42"/>
  <c r="V66" i="42"/>
  <c r="V111" i="42"/>
  <c r="V93" i="42"/>
  <c r="M139" i="42"/>
  <c r="M18" i="42" s="1"/>
  <c r="O43" i="42" l="1"/>
  <c r="P91" i="42"/>
  <c r="V135" i="42"/>
  <c r="O139" i="42"/>
  <c r="O18" i="42" s="1"/>
  <c r="V39" i="42"/>
  <c r="U20" i="42"/>
  <c r="X40" i="42"/>
  <c r="W42" i="42"/>
  <c r="W39" i="42" s="1"/>
  <c r="W41" i="42"/>
  <c r="W45" i="42" s="1"/>
  <c r="P94" i="42"/>
  <c r="W66" i="42"/>
  <c r="W65" i="42"/>
  <c r="X64" i="42"/>
  <c r="M142" i="42"/>
  <c r="N142" i="42" s="1"/>
  <c r="Y15" i="42"/>
  <c r="X17" i="42"/>
  <c r="X16" i="42"/>
  <c r="Y112" i="42"/>
  <c r="X114" i="42"/>
  <c r="X111" i="42" s="1"/>
  <c r="X113" i="42"/>
  <c r="G118" i="42"/>
  <c r="F21" i="42"/>
  <c r="M7" i="42"/>
  <c r="M6" i="42"/>
  <c r="N5" i="42"/>
  <c r="W87" i="42"/>
  <c r="N46" i="42"/>
  <c r="X136" i="42"/>
  <c r="W138" i="42"/>
  <c r="W135" i="42" s="1"/>
  <c r="W137" i="42"/>
  <c r="W117" i="42"/>
  <c r="X90" i="42"/>
  <c r="X87" i="42" s="1"/>
  <c r="X89" i="42"/>
  <c r="Y88" i="42"/>
  <c r="V116" i="42"/>
  <c r="P115" i="42"/>
  <c r="U19" i="42"/>
  <c r="V141" i="42"/>
  <c r="W111" i="42"/>
  <c r="V69" i="42"/>
  <c r="V63" i="42"/>
  <c r="V140" i="42"/>
  <c r="P139" i="42"/>
  <c r="I70" i="42"/>
  <c r="W93" i="42"/>
  <c r="Y40" i="42" l="1"/>
  <c r="X42" i="42"/>
  <c r="X41" i="42"/>
  <c r="X45" i="42" s="1"/>
  <c r="W44" i="42"/>
  <c r="Q43" i="42"/>
  <c r="P43" i="42"/>
  <c r="V44" i="42"/>
  <c r="O142" i="42"/>
  <c r="P142" i="42" s="1"/>
  <c r="V20" i="42"/>
  <c r="X138" i="42"/>
  <c r="Y136" i="42"/>
  <c r="X137" i="42"/>
  <c r="X117" i="42"/>
  <c r="W63" i="42"/>
  <c r="Y90" i="42"/>
  <c r="Y89" i="42"/>
  <c r="Z88" i="42"/>
  <c r="O46" i="42"/>
  <c r="X116" i="42"/>
  <c r="R115" i="42"/>
  <c r="Y17" i="42"/>
  <c r="Y16" i="42"/>
  <c r="Z15" i="42"/>
  <c r="J70" i="42"/>
  <c r="V68" i="42"/>
  <c r="P67" i="42"/>
  <c r="P18" i="42" s="1"/>
  <c r="W116" i="42"/>
  <c r="Q115" i="42"/>
  <c r="X93" i="42"/>
  <c r="W141" i="42"/>
  <c r="Z112" i="42"/>
  <c r="Y114" i="42"/>
  <c r="Y113" i="42"/>
  <c r="X66" i="42"/>
  <c r="X65" i="42"/>
  <c r="Y64" i="42"/>
  <c r="X92" i="42"/>
  <c r="R91" i="42"/>
  <c r="W140" i="42"/>
  <c r="Q139" i="42"/>
  <c r="W92" i="42"/>
  <c r="Q91" i="42"/>
  <c r="Q94" i="42" s="1"/>
  <c r="O5" i="42"/>
  <c r="N7" i="42"/>
  <c r="N6" i="42"/>
  <c r="H118" i="42"/>
  <c r="G21" i="42"/>
  <c r="W69" i="42"/>
  <c r="V19" i="42" l="1"/>
  <c r="X135" i="42"/>
  <c r="X39" i="42"/>
  <c r="Y42" i="42"/>
  <c r="Y41" i="42"/>
  <c r="Y45" i="42" s="1"/>
  <c r="Z40" i="42"/>
  <c r="I118" i="42"/>
  <c r="H21" i="42"/>
  <c r="R94" i="42"/>
  <c r="W68" i="42"/>
  <c r="W19" i="42" s="1"/>
  <c r="Q67" i="42"/>
  <c r="Q18" i="42" s="1"/>
  <c r="X141" i="42"/>
  <c r="Y117" i="42"/>
  <c r="W20" i="42"/>
  <c r="O7" i="42"/>
  <c r="O6" i="42"/>
  <c r="Y66" i="42"/>
  <c r="Z64" i="42"/>
  <c r="Y65" i="42"/>
  <c r="Y111" i="42"/>
  <c r="AA15" i="42"/>
  <c r="Z17" i="42"/>
  <c r="Z16" i="42"/>
  <c r="AA88" i="42"/>
  <c r="Z90" i="42"/>
  <c r="Z89" i="42"/>
  <c r="Y138" i="42"/>
  <c r="Z136" i="42"/>
  <c r="Y137" i="42"/>
  <c r="X69" i="42"/>
  <c r="Z114" i="42"/>
  <c r="Z113" i="42"/>
  <c r="AA112" i="42"/>
  <c r="Y93" i="42"/>
  <c r="X140" i="42"/>
  <c r="R139" i="42"/>
  <c r="X63" i="42"/>
  <c r="K70" i="42"/>
  <c r="Q142" i="42"/>
  <c r="P46" i="42"/>
  <c r="Y87" i="42"/>
  <c r="X20" i="42" l="1"/>
  <c r="Z111" i="42"/>
  <c r="Z116" i="42" s="1"/>
  <c r="AA40" i="42"/>
  <c r="Z42" i="42"/>
  <c r="Z41" i="42"/>
  <c r="Z45" i="42" s="1"/>
  <c r="Y39" i="42"/>
  <c r="X44" i="42"/>
  <c r="R43" i="42"/>
  <c r="Q46" i="42"/>
  <c r="R142" i="42"/>
  <c r="X68" i="42"/>
  <c r="R67" i="42"/>
  <c r="Z117" i="42"/>
  <c r="Y135" i="42"/>
  <c r="AB15" i="42"/>
  <c r="AA17" i="42"/>
  <c r="AA16" i="42"/>
  <c r="Y63" i="42"/>
  <c r="Z93" i="42"/>
  <c r="Y116" i="42"/>
  <c r="S115" i="42"/>
  <c r="Y92" i="42"/>
  <c r="S91" i="42"/>
  <c r="S94" i="42" s="1"/>
  <c r="Y141" i="42"/>
  <c r="Z87" i="42"/>
  <c r="Y69" i="42"/>
  <c r="T115" i="42"/>
  <c r="L70" i="42"/>
  <c r="AA114" i="42"/>
  <c r="AA113" i="42"/>
  <c r="AB112" i="42"/>
  <c r="Z137" i="42"/>
  <c r="Z138" i="42"/>
  <c r="AA136" i="42"/>
  <c r="AB88" i="42"/>
  <c r="AA90" i="42"/>
  <c r="AA89" i="42"/>
  <c r="Z66" i="42"/>
  <c r="AA64" i="42"/>
  <c r="Z65" i="42"/>
  <c r="J118" i="42"/>
  <c r="I21" i="42"/>
  <c r="Z39" i="42" l="1"/>
  <c r="T43" i="42" s="1"/>
  <c r="Y44" i="42"/>
  <c r="S43" i="42"/>
  <c r="AA87" i="42"/>
  <c r="AA92" i="42" s="1"/>
  <c r="R18" i="42"/>
  <c r="AA42" i="42"/>
  <c r="AA39" i="42" s="1"/>
  <c r="AA41" i="42"/>
  <c r="AA45" i="42" s="1"/>
  <c r="AB40" i="42"/>
  <c r="X19" i="42"/>
  <c r="Z141" i="42"/>
  <c r="Z69" i="42"/>
  <c r="AA66" i="42"/>
  <c r="AA65" i="42"/>
  <c r="AB64" i="42"/>
  <c r="AB90" i="42"/>
  <c r="AB87" i="42" s="1"/>
  <c r="AB89" i="42"/>
  <c r="AC88" i="42"/>
  <c r="AC112" i="42"/>
  <c r="AB114" i="42"/>
  <c r="AB113" i="42"/>
  <c r="Z92" i="42"/>
  <c r="T91" i="42"/>
  <c r="T94" i="42" s="1"/>
  <c r="AC15" i="42"/>
  <c r="AB17" i="42"/>
  <c r="AB16" i="42"/>
  <c r="R46" i="42"/>
  <c r="Y140" i="42"/>
  <c r="S139" i="42"/>
  <c r="S142" i="42" s="1"/>
  <c r="Z63" i="42"/>
  <c r="AA138" i="42"/>
  <c r="AA137" i="42"/>
  <c r="AB136" i="42"/>
  <c r="AA117" i="42"/>
  <c r="K118" i="42"/>
  <c r="J21" i="42"/>
  <c r="AA93" i="42"/>
  <c r="Z135" i="42"/>
  <c r="AA111" i="42"/>
  <c r="M70" i="42"/>
  <c r="Y20" i="42"/>
  <c r="Y68" i="42"/>
  <c r="S67" i="42"/>
  <c r="U91" i="42" l="1"/>
  <c r="Z44" i="42"/>
  <c r="AB41" i="42"/>
  <c r="AB45" i="42" s="1"/>
  <c r="AC40" i="42"/>
  <c r="AB42" i="42"/>
  <c r="AB39" i="42" s="1"/>
  <c r="AA44" i="42"/>
  <c r="U43" i="42"/>
  <c r="U94" i="42"/>
  <c r="AB111" i="42"/>
  <c r="AB116" i="42" s="1"/>
  <c r="Y19" i="42"/>
  <c r="Z20" i="42"/>
  <c r="L118" i="42"/>
  <c r="K21" i="42"/>
  <c r="N70" i="42"/>
  <c r="Z68" i="42"/>
  <c r="T67" i="42"/>
  <c r="AC90" i="42"/>
  <c r="AC87" i="42" s="1"/>
  <c r="AC89" i="42"/>
  <c r="AD88" i="42"/>
  <c r="AA69" i="42"/>
  <c r="AA116" i="42"/>
  <c r="U115" i="42"/>
  <c r="AB138" i="42"/>
  <c r="AC136" i="42"/>
  <c r="AB137" i="42"/>
  <c r="S46" i="42"/>
  <c r="AB117" i="42"/>
  <c r="AB93" i="42"/>
  <c r="AA63" i="42"/>
  <c r="Z140" i="42"/>
  <c r="T139" i="42"/>
  <c r="T142" i="42" s="1"/>
  <c r="AC17" i="42"/>
  <c r="AC16" i="42"/>
  <c r="AD15" i="42"/>
  <c r="AB92" i="42"/>
  <c r="V91" i="42"/>
  <c r="AA141" i="42"/>
  <c r="S18" i="42"/>
  <c r="AA135" i="42"/>
  <c r="AD112" i="42"/>
  <c r="AC114" i="42"/>
  <c r="AC113" i="42"/>
  <c r="AB66" i="42"/>
  <c r="AB65" i="42"/>
  <c r="AC64" i="42"/>
  <c r="V94" i="42" l="1"/>
  <c r="V115" i="42"/>
  <c r="AB44" i="42"/>
  <c r="V43" i="42"/>
  <c r="AC41" i="42"/>
  <c r="AC45" i="42" s="1"/>
  <c r="AC42" i="42"/>
  <c r="AC39" i="42" s="1"/>
  <c r="AD40" i="42"/>
  <c r="AB135" i="42"/>
  <c r="AB140" i="42" s="1"/>
  <c r="AA140" i="42"/>
  <c r="U139" i="42"/>
  <c r="U142" i="42" s="1"/>
  <c r="AA68" i="42"/>
  <c r="U67" i="42"/>
  <c r="AC138" i="42"/>
  <c r="AD136" i="42"/>
  <c r="AC137" i="42"/>
  <c r="AA20" i="42"/>
  <c r="AC92" i="42"/>
  <c r="W91" i="42"/>
  <c r="W94" i="42" s="1"/>
  <c r="T70" i="42"/>
  <c r="T18" i="42"/>
  <c r="O70" i="42"/>
  <c r="M118" i="42"/>
  <c r="L21" i="42"/>
  <c r="AE112" i="42"/>
  <c r="AD114" i="42"/>
  <c r="AD113" i="42"/>
  <c r="T46" i="42"/>
  <c r="AB69" i="42"/>
  <c r="AB63" i="42"/>
  <c r="AC117" i="42"/>
  <c r="AE15" i="42"/>
  <c r="AD17" i="42"/>
  <c r="AD16" i="42"/>
  <c r="AE88" i="42"/>
  <c r="AD90" i="42"/>
  <c r="AD89" i="42"/>
  <c r="Z19" i="42"/>
  <c r="AC65" i="42"/>
  <c r="AD64" i="42"/>
  <c r="AC66" i="42"/>
  <c r="AC63" i="42" s="1"/>
  <c r="AC111" i="42"/>
  <c r="AB141" i="42"/>
  <c r="AC93" i="42"/>
  <c r="AD111" i="42" l="1"/>
  <c r="AD41" i="42"/>
  <c r="AD45" i="42" s="1"/>
  <c r="AE40" i="42"/>
  <c r="AD42" i="42"/>
  <c r="AD39" i="42" s="1"/>
  <c r="W43" i="42"/>
  <c r="AC44" i="42"/>
  <c r="V139" i="42"/>
  <c r="V142" i="42" s="1"/>
  <c r="AA19" i="42"/>
  <c r="U70" i="42"/>
  <c r="AC116" i="42"/>
  <c r="W115" i="42"/>
  <c r="AD87" i="42"/>
  <c r="AB68" i="42"/>
  <c r="AB19" i="42" s="1"/>
  <c r="V67" i="42"/>
  <c r="AD117" i="42"/>
  <c r="N118" i="42"/>
  <c r="M21" i="42"/>
  <c r="U18" i="42"/>
  <c r="AC68" i="42"/>
  <c r="W67" i="42"/>
  <c r="AF88" i="42"/>
  <c r="AE90" i="42"/>
  <c r="AE89" i="42"/>
  <c r="AF15" i="42"/>
  <c r="AE17" i="42"/>
  <c r="AE16" i="42"/>
  <c r="AB20" i="42"/>
  <c r="AD116" i="42"/>
  <c r="X115" i="42"/>
  <c r="AC141" i="42"/>
  <c r="AD65" i="42"/>
  <c r="AE64" i="42"/>
  <c r="AD66" i="42"/>
  <c r="U46" i="42"/>
  <c r="AE114" i="42"/>
  <c r="AE113" i="42"/>
  <c r="AF112" i="42"/>
  <c r="P70" i="42"/>
  <c r="AD138" i="42"/>
  <c r="AD137" i="42"/>
  <c r="AE136" i="42"/>
  <c r="AC69" i="42"/>
  <c r="AD93" i="42"/>
  <c r="AC135" i="42"/>
  <c r="AD44" i="42" l="1"/>
  <c r="X43" i="42"/>
  <c r="V18" i="42"/>
  <c r="AF40" i="42"/>
  <c r="AE42" i="42"/>
  <c r="AE41" i="42"/>
  <c r="AE45" i="42" s="1"/>
  <c r="V70" i="42"/>
  <c r="AC20" i="42"/>
  <c r="AC140" i="42"/>
  <c r="AC19" i="42" s="1"/>
  <c r="W139" i="42"/>
  <c r="W142" i="42" s="1"/>
  <c r="AE111" i="42"/>
  <c r="AE66" i="42"/>
  <c r="AE65" i="42"/>
  <c r="AF64" i="42"/>
  <c r="AF90" i="42"/>
  <c r="AF89" i="42"/>
  <c r="AG88" i="42"/>
  <c r="V46" i="42"/>
  <c r="AG15" i="42"/>
  <c r="AF17" i="42"/>
  <c r="AF16" i="42"/>
  <c r="W70" i="42"/>
  <c r="Q70" i="42"/>
  <c r="AG112" i="42"/>
  <c r="AF113" i="42"/>
  <c r="AF114" i="42"/>
  <c r="AE94" i="42"/>
  <c r="AE93" i="42"/>
  <c r="AD92" i="42"/>
  <c r="X91" i="42"/>
  <c r="X94" i="42" s="1"/>
  <c r="AF136" i="42"/>
  <c r="AE138" i="42"/>
  <c r="AE137" i="42"/>
  <c r="AD69" i="42"/>
  <c r="AD141" i="42"/>
  <c r="AD135" i="42"/>
  <c r="AE117" i="42"/>
  <c r="AD63" i="42"/>
  <c r="AE87" i="42"/>
  <c r="O118" i="42"/>
  <c r="N21" i="42"/>
  <c r="AE63" i="42" l="1"/>
  <c r="AE39" i="42"/>
  <c r="AG40" i="42"/>
  <c r="AF42" i="42"/>
  <c r="AF41" i="42"/>
  <c r="AF45" i="42" s="1"/>
  <c r="AE135" i="42"/>
  <c r="AE140" i="42" s="1"/>
  <c r="W18" i="42"/>
  <c r="AE92" i="42"/>
  <c r="Y91" i="42"/>
  <c r="Y94" i="42" s="1"/>
  <c r="P118" i="42"/>
  <c r="O21" i="42"/>
  <c r="AF111" i="42"/>
  <c r="AG90" i="42"/>
  <c r="AG89" i="42"/>
  <c r="AH88" i="42"/>
  <c r="AE141" i="42"/>
  <c r="AF117" i="42"/>
  <c r="AG17" i="42"/>
  <c r="AG16" i="42"/>
  <c r="AH15" i="42"/>
  <c r="AF93" i="42"/>
  <c r="AF66" i="42"/>
  <c r="AF65" i="42"/>
  <c r="AG64" i="42"/>
  <c r="AE116" i="42"/>
  <c r="Y115" i="42"/>
  <c r="AD140" i="42"/>
  <c r="X139" i="42"/>
  <c r="X142" i="42" s="1"/>
  <c r="AH112" i="42"/>
  <c r="AG114" i="42"/>
  <c r="AG113" i="42"/>
  <c r="W46" i="42"/>
  <c r="AF87" i="42"/>
  <c r="AE69" i="42"/>
  <c r="AD68" i="42"/>
  <c r="X67" i="42"/>
  <c r="AD20" i="42"/>
  <c r="AF138" i="42"/>
  <c r="AG136" i="42"/>
  <c r="AF137" i="42"/>
  <c r="R70" i="42"/>
  <c r="AE68" i="42"/>
  <c r="Y67" i="42"/>
  <c r="AF39" i="42" l="1"/>
  <c r="Z43" i="42" s="1"/>
  <c r="Y139" i="42"/>
  <c r="Y142" i="42" s="1"/>
  <c r="AG41" i="42"/>
  <c r="AG45" i="42" s="1"/>
  <c r="AH40" i="42"/>
  <c r="AG42" i="42"/>
  <c r="AG39" i="42" s="1"/>
  <c r="Y43" i="42"/>
  <c r="Y18" i="42" s="1"/>
  <c r="AE44" i="42"/>
  <c r="AE19" i="42" s="1"/>
  <c r="X18" i="42"/>
  <c r="AD19" i="42"/>
  <c r="AE20" i="42"/>
  <c r="AF141" i="42"/>
  <c r="AG117" i="42"/>
  <c r="AF63" i="42"/>
  <c r="AI88" i="42"/>
  <c r="AH90" i="42"/>
  <c r="AH89" i="42"/>
  <c r="Q118" i="42"/>
  <c r="P21" i="42"/>
  <c r="AG93" i="42"/>
  <c r="AF116" i="42"/>
  <c r="Z115" i="42"/>
  <c r="AG138" i="42"/>
  <c r="AG135" i="42" s="1"/>
  <c r="AH136" i="42"/>
  <c r="AG137" i="42"/>
  <c r="AF92" i="42"/>
  <c r="Z91" i="42"/>
  <c r="Z94" i="42" s="1"/>
  <c r="AG111" i="42"/>
  <c r="AF135" i="42"/>
  <c r="X46" i="42"/>
  <c r="AI112" i="42"/>
  <c r="AH114" i="42"/>
  <c r="AH113" i="42"/>
  <c r="AG66" i="42"/>
  <c r="AH64" i="42"/>
  <c r="AG65" i="42"/>
  <c r="AI15" i="42"/>
  <c r="AH17" i="42"/>
  <c r="AH16" i="42"/>
  <c r="AG87" i="42"/>
  <c r="AF69" i="42"/>
  <c r="AF20" i="42" s="1"/>
  <c r="X70" i="42"/>
  <c r="Y70" i="42" s="1"/>
  <c r="AF44" i="42" l="1"/>
  <c r="AG63" i="42"/>
  <c r="AG44" i="42"/>
  <c r="AA43" i="42"/>
  <c r="AI40" i="42"/>
  <c r="AH42" i="42"/>
  <c r="AH41" i="42"/>
  <c r="AH45" i="42" s="1"/>
  <c r="AJ15" i="42"/>
  <c r="AI17" i="42"/>
  <c r="AI16" i="42"/>
  <c r="AH117" i="42"/>
  <c r="AF68" i="42"/>
  <c r="Z67" i="42"/>
  <c r="Z70" i="42" s="1"/>
  <c r="AG69" i="42"/>
  <c r="AH111" i="42"/>
  <c r="AG116" i="42"/>
  <c r="AA115" i="42"/>
  <c r="AG141" i="42"/>
  <c r="R118" i="42"/>
  <c r="Q21" i="42"/>
  <c r="AH93" i="42"/>
  <c r="AG92" i="42"/>
  <c r="AA91" i="42"/>
  <c r="AA94" i="42" s="1"/>
  <c r="AH66" i="42"/>
  <c r="AI64" i="42"/>
  <c r="AH65" i="42"/>
  <c r="AI114" i="42"/>
  <c r="AI113" i="42"/>
  <c r="AJ112" i="42"/>
  <c r="AF140" i="42"/>
  <c r="Z139" i="42"/>
  <c r="Z142" i="42" s="1"/>
  <c r="AH137" i="42"/>
  <c r="AH138" i="42"/>
  <c r="AI136" i="42"/>
  <c r="AH87" i="42"/>
  <c r="AG68" i="42"/>
  <c r="AA67" i="42"/>
  <c r="Y46" i="42"/>
  <c r="AG140" i="42"/>
  <c r="AA139" i="42"/>
  <c r="AJ88" i="42"/>
  <c r="AI90" i="42"/>
  <c r="AI89" i="42"/>
  <c r="AI111" i="42" l="1"/>
  <c r="AH39" i="42"/>
  <c r="AJ40" i="42"/>
  <c r="AI42" i="42"/>
  <c r="AI41" i="42"/>
  <c r="AI45" i="42" s="1"/>
  <c r="AA70" i="42"/>
  <c r="AG20" i="42"/>
  <c r="Z18" i="42"/>
  <c r="AI116" i="42"/>
  <c r="AC115" i="42"/>
  <c r="AI93" i="42"/>
  <c r="AJ90" i="42"/>
  <c r="AJ89" i="42"/>
  <c r="AK88" i="42"/>
  <c r="Z46" i="42"/>
  <c r="AG19" i="42"/>
  <c r="AA142" i="42"/>
  <c r="AI117" i="42"/>
  <c r="AH63" i="42"/>
  <c r="S118" i="42"/>
  <c r="R21" i="42"/>
  <c r="AI138" i="42"/>
  <c r="AI135" i="42" s="1"/>
  <c r="AI137" i="42"/>
  <c r="AJ136" i="42"/>
  <c r="AH92" i="42"/>
  <c r="AB91" i="42"/>
  <c r="AB94" i="42" s="1"/>
  <c r="AH135" i="42"/>
  <c r="AH69" i="42"/>
  <c r="AH116" i="42"/>
  <c r="AB115" i="42"/>
  <c r="AK15" i="42"/>
  <c r="AJ17" i="42"/>
  <c r="AJ16" i="42"/>
  <c r="AA18" i="42"/>
  <c r="AI87" i="42"/>
  <c r="AH141" i="42"/>
  <c r="AK112" i="42"/>
  <c r="AJ114" i="42"/>
  <c r="AJ113" i="42"/>
  <c r="AI66" i="42"/>
  <c r="AI65" i="42"/>
  <c r="AJ64" i="42"/>
  <c r="AF19" i="42"/>
  <c r="AJ87" i="42" l="1"/>
  <c r="AI39" i="42"/>
  <c r="AI44" i="42" s="1"/>
  <c r="AI63" i="42"/>
  <c r="AI68" i="42" s="1"/>
  <c r="AK40" i="42"/>
  <c r="AJ42" i="42"/>
  <c r="AJ41" i="42"/>
  <c r="AJ45" i="42" s="1"/>
  <c r="AB43" i="42"/>
  <c r="AH44" i="42"/>
  <c r="AH20" i="42"/>
  <c r="AJ117" i="42"/>
  <c r="AJ66" i="42"/>
  <c r="AJ65" i="42"/>
  <c r="AK64" i="42"/>
  <c r="AJ111" i="42"/>
  <c r="AI69" i="42"/>
  <c r="AL112" i="42"/>
  <c r="AK114" i="42"/>
  <c r="AK113" i="42"/>
  <c r="AH140" i="42"/>
  <c r="AB139" i="42"/>
  <c r="AB142" i="42" s="1"/>
  <c r="AC142" i="42" s="1"/>
  <c r="AJ138" i="42"/>
  <c r="AK136" i="42"/>
  <c r="AJ137" i="42"/>
  <c r="AK90" i="42"/>
  <c r="AK89" i="42"/>
  <c r="AL88" i="42"/>
  <c r="AI141" i="42"/>
  <c r="T118" i="42"/>
  <c r="S21" i="42"/>
  <c r="AH68" i="42"/>
  <c r="AH19" i="42" s="1"/>
  <c r="AB67" i="42"/>
  <c r="AJ93" i="42"/>
  <c r="AI140" i="42"/>
  <c r="AC139" i="42"/>
  <c r="AA46" i="42"/>
  <c r="AJ92" i="42"/>
  <c r="AD91" i="42"/>
  <c r="AK17" i="42"/>
  <c r="AK16" i="42"/>
  <c r="AL15" i="42"/>
  <c r="AI92" i="42"/>
  <c r="AC91" i="42"/>
  <c r="AC94" i="42" s="1"/>
  <c r="AC43" i="42" l="1"/>
  <c r="AJ63" i="42"/>
  <c r="AD67" i="42" s="1"/>
  <c r="AJ135" i="42"/>
  <c r="AC67" i="42"/>
  <c r="AK111" i="42"/>
  <c r="AK116" i="42" s="1"/>
  <c r="AJ39" i="42"/>
  <c r="AK41" i="42"/>
  <c r="AK45" i="42" s="1"/>
  <c r="AL40" i="42"/>
  <c r="AK42" i="42"/>
  <c r="AC18" i="42"/>
  <c r="AD94" i="42"/>
  <c r="AK93" i="42"/>
  <c r="AJ140" i="42"/>
  <c r="AD139" i="42"/>
  <c r="AD142" i="42" s="1"/>
  <c r="AK117" i="42"/>
  <c r="AJ68" i="42"/>
  <c r="AI19" i="42"/>
  <c r="AJ116" i="42"/>
  <c r="AD115" i="42"/>
  <c r="AM15" i="42"/>
  <c r="AL17" i="42"/>
  <c r="AL16" i="42"/>
  <c r="AB18" i="42"/>
  <c r="AB70" i="42"/>
  <c r="AC70" i="42" s="1"/>
  <c r="AJ141" i="42"/>
  <c r="AM112" i="42"/>
  <c r="AL114" i="42"/>
  <c r="AL111" i="42" s="1"/>
  <c r="AL113" i="42"/>
  <c r="AK65" i="42"/>
  <c r="AL64" i="42"/>
  <c r="AK66" i="42"/>
  <c r="U118" i="42"/>
  <c r="T21" i="42"/>
  <c r="AK87" i="42"/>
  <c r="AB46" i="42"/>
  <c r="AM88" i="42"/>
  <c r="AL89" i="42"/>
  <c r="AL90" i="42"/>
  <c r="AK138" i="42"/>
  <c r="AL136" i="42"/>
  <c r="AK137" i="42"/>
  <c r="AI20" i="42"/>
  <c r="AJ69" i="42"/>
  <c r="AE115" i="42" l="1"/>
  <c r="AD70" i="42"/>
  <c r="AL87" i="42"/>
  <c r="AF91" i="42" s="1"/>
  <c r="AF94" i="42" s="1"/>
  <c r="AK39" i="42"/>
  <c r="AK44" i="42" s="1"/>
  <c r="AM40" i="42"/>
  <c r="AL42" i="42"/>
  <c r="AL39" i="42" s="1"/>
  <c r="AL41" i="42"/>
  <c r="AL45" i="42" s="1"/>
  <c r="AJ44" i="42"/>
  <c r="AJ19" i="42" s="1"/>
  <c r="AD43" i="42"/>
  <c r="AK135" i="42"/>
  <c r="AE139" i="42" s="1"/>
  <c r="AE142" i="42" s="1"/>
  <c r="AK63" i="42"/>
  <c r="AK68" i="42" s="1"/>
  <c r="AJ20" i="42"/>
  <c r="AN88" i="42"/>
  <c r="AM90" i="42"/>
  <c r="AM89" i="42"/>
  <c r="V118" i="42"/>
  <c r="U21" i="42"/>
  <c r="AK69" i="42"/>
  <c r="AK141" i="42"/>
  <c r="AC46" i="42"/>
  <c r="AL117" i="42"/>
  <c r="AL92" i="42"/>
  <c r="AL116" i="42"/>
  <c r="AF115" i="42"/>
  <c r="AK92" i="42"/>
  <c r="AE91" i="42"/>
  <c r="AL93" i="42"/>
  <c r="AL65" i="42"/>
  <c r="AM64" i="42"/>
  <c r="AL66" i="42"/>
  <c r="AM114" i="42"/>
  <c r="AM113" i="42"/>
  <c r="AN112" i="42"/>
  <c r="AN15" i="42"/>
  <c r="AM17" i="42"/>
  <c r="AM16" i="42"/>
  <c r="AD18" i="42"/>
  <c r="AL138" i="42"/>
  <c r="AL137" i="42"/>
  <c r="AM136" i="42"/>
  <c r="AE43" i="42" l="1"/>
  <c r="AE67" i="42"/>
  <c r="AE70" i="42" s="1"/>
  <c r="AK140" i="42"/>
  <c r="AF43" i="42"/>
  <c r="AL44" i="42"/>
  <c r="AM42" i="42"/>
  <c r="AM41" i="42"/>
  <c r="AM45" i="42" s="1"/>
  <c r="AN40" i="42"/>
  <c r="AL63" i="42"/>
  <c r="AL68" i="42" s="1"/>
  <c r="AM117" i="42"/>
  <c r="AL69" i="42"/>
  <c r="AD46" i="42"/>
  <c r="AK20" i="42"/>
  <c r="AM93" i="42"/>
  <c r="AL141" i="42"/>
  <c r="AN136" i="42"/>
  <c r="AM138" i="42"/>
  <c r="AM137" i="42"/>
  <c r="AO15" i="42"/>
  <c r="AN17" i="42"/>
  <c r="AN16" i="42"/>
  <c r="AM111" i="42"/>
  <c r="AM87" i="42"/>
  <c r="AN90" i="42"/>
  <c r="AN89" i="42"/>
  <c r="AO88" i="42"/>
  <c r="AK19" i="42"/>
  <c r="AL135" i="42"/>
  <c r="AO112" i="42"/>
  <c r="AN114" i="42"/>
  <c r="AN113" i="42"/>
  <c r="AM66" i="42"/>
  <c r="AM65" i="42"/>
  <c r="AN64" i="42"/>
  <c r="W118" i="42"/>
  <c r="V21" i="42"/>
  <c r="AE18" i="42" l="1"/>
  <c r="AN111" i="42"/>
  <c r="AO40" i="42"/>
  <c r="AN42" i="42"/>
  <c r="AN41" i="42"/>
  <c r="AN45" i="42" s="1"/>
  <c r="AM135" i="42"/>
  <c r="AM140" i="42" s="1"/>
  <c r="AM39" i="42"/>
  <c r="AF67" i="42"/>
  <c r="AF70" i="42" s="1"/>
  <c r="AM63" i="42"/>
  <c r="AM68" i="42" s="1"/>
  <c r="AN66" i="42"/>
  <c r="AN65" i="42"/>
  <c r="AO64" i="42"/>
  <c r="AM69" i="42"/>
  <c r="AP112" i="42"/>
  <c r="AO114" i="42"/>
  <c r="AO113" i="42"/>
  <c r="AN87" i="42"/>
  <c r="AM116" i="42"/>
  <c r="AG115" i="42"/>
  <c r="AM141" i="42"/>
  <c r="X118" i="42"/>
  <c r="W21" i="42"/>
  <c r="AE46" i="42"/>
  <c r="AL140" i="42"/>
  <c r="AL19" i="42" s="1"/>
  <c r="AF139" i="42"/>
  <c r="AF142" i="42" s="1"/>
  <c r="AN117" i="42"/>
  <c r="AO90" i="42"/>
  <c r="AO89" i="42"/>
  <c r="AP88" i="42"/>
  <c r="AN138" i="42"/>
  <c r="AO136" i="42"/>
  <c r="AN137" i="42"/>
  <c r="AN116" i="42"/>
  <c r="AH115" i="42"/>
  <c r="AN93" i="42"/>
  <c r="AM92" i="42"/>
  <c r="AG91" i="42"/>
  <c r="AG94" i="42" s="1"/>
  <c r="AO17" i="42"/>
  <c r="AO16" i="42"/>
  <c r="AP15" i="42"/>
  <c r="AL20" i="42"/>
  <c r="AN63" i="42" l="1"/>
  <c r="AG67" i="42"/>
  <c r="AG70" i="42" s="1"/>
  <c r="AG43" i="42"/>
  <c r="AM44" i="42"/>
  <c r="AN135" i="42"/>
  <c r="AH139" i="42" s="1"/>
  <c r="AH142" i="42" s="1"/>
  <c r="AG139" i="42"/>
  <c r="AG18" i="42" s="1"/>
  <c r="AN39" i="42"/>
  <c r="AO87" i="42"/>
  <c r="AO92" i="42" s="1"/>
  <c r="AO42" i="42"/>
  <c r="AP40" i="42"/>
  <c r="AO41" i="42"/>
  <c r="AO45" i="42" s="1"/>
  <c r="AG142" i="42"/>
  <c r="AO138" i="42"/>
  <c r="AP136" i="42"/>
  <c r="AO137" i="42"/>
  <c r="AN92" i="42"/>
  <c r="AH91" i="42"/>
  <c r="AH94" i="42" s="1"/>
  <c r="AM20" i="42"/>
  <c r="AN68" i="42"/>
  <c r="AH67" i="42"/>
  <c r="AH70" i="42" s="1"/>
  <c r="AN140" i="42"/>
  <c r="AF46" i="42"/>
  <c r="AO117" i="42"/>
  <c r="AQ88" i="42"/>
  <c r="AP90" i="42"/>
  <c r="AP89" i="42"/>
  <c r="AO111" i="42"/>
  <c r="AO66" i="42"/>
  <c r="AP64" i="42"/>
  <c r="AO65" i="42"/>
  <c r="AM19" i="42"/>
  <c r="AQ15" i="42"/>
  <c r="AP17" i="42"/>
  <c r="AP16" i="42"/>
  <c r="AN141" i="42"/>
  <c r="AO93" i="42"/>
  <c r="Y118" i="42"/>
  <c r="X21" i="42"/>
  <c r="AF18" i="42"/>
  <c r="AQ112" i="42"/>
  <c r="AP114" i="42"/>
  <c r="AP113" i="42"/>
  <c r="AN69" i="42"/>
  <c r="AP41" i="42" l="1"/>
  <c r="AP45" i="42" s="1"/>
  <c r="AQ40" i="42"/>
  <c r="AP42" i="42"/>
  <c r="AP39" i="42" s="1"/>
  <c r="AO39" i="42"/>
  <c r="AN44" i="42"/>
  <c r="AN19" i="42" s="1"/>
  <c r="AH43" i="42"/>
  <c r="AP111" i="42"/>
  <c r="AJ115" i="42" s="1"/>
  <c r="AI91" i="42"/>
  <c r="AI94" i="42" s="1"/>
  <c r="AO135" i="42"/>
  <c r="AI139" i="42" s="1"/>
  <c r="AI142" i="42" s="1"/>
  <c r="AN20" i="42"/>
  <c r="AR15" i="42"/>
  <c r="AQ17" i="42"/>
  <c r="AQ16" i="42"/>
  <c r="AO69" i="42"/>
  <c r="AP117" i="42"/>
  <c r="AP66" i="42"/>
  <c r="AQ64" i="42"/>
  <c r="AP65" i="42"/>
  <c r="AG46" i="42"/>
  <c r="Z118" i="42"/>
  <c r="Y21" i="42"/>
  <c r="AO63" i="42"/>
  <c r="AP93" i="42"/>
  <c r="AH18" i="42"/>
  <c r="AO141" i="42"/>
  <c r="AQ114" i="42"/>
  <c r="AQ113" i="42"/>
  <c r="AR112" i="42"/>
  <c r="AO116" i="42"/>
  <c r="AI115" i="42"/>
  <c r="AP87" i="42"/>
  <c r="AP137" i="42"/>
  <c r="AP138" i="42"/>
  <c r="AQ136" i="42"/>
  <c r="AR88" i="42"/>
  <c r="AQ90" i="42"/>
  <c r="AQ89" i="42"/>
  <c r="AP135" i="42" l="1"/>
  <c r="AP116" i="42"/>
  <c r="AI43" i="42"/>
  <c r="AO44" i="42"/>
  <c r="AJ43" i="42"/>
  <c r="AP44" i="42"/>
  <c r="AO140" i="42"/>
  <c r="AR40" i="42"/>
  <c r="AQ42" i="42"/>
  <c r="AQ41" i="42"/>
  <c r="AQ45" i="42" s="1"/>
  <c r="AP63" i="42"/>
  <c r="AJ67" i="42" s="1"/>
  <c r="AR90" i="42"/>
  <c r="AR89" i="42"/>
  <c r="AS88" i="42"/>
  <c r="AQ118" i="42"/>
  <c r="AQ117" i="42"/>
  <c r="AQ138" i="42"/>
  <c r="AQ137" i="42"/>
  <c r="AR136" i="42"/>
  <c r="AQ111" i="42"/>
  <c r="AP140" i="42"/>
  <c r="AJ139" i="42"/>
  <c r="AJ142" i="42" s="1"/>
  <c r="AO68" i="42"/>
  <c r="AI67" i="42"/>
  <c r="AP69" i="42"/>
  <c r="AQ93" i="42"/>
  <c r="AP92" i="42"/>
  <c r="AJ91" i="42"/>
  <c r="AJ94" i="42" s="1"/>
  <c r="AQ87" i="42"/>
  <c r="AP141" i="42"/>
  <c r="AS112" i="42"/>
  <c r="AR114" i="42"/>
  <c r="AR113" i="42"/>
  <c r="AQ66" i="42"/>
  <c r="AQ65" i="42"/>
  <c r="AR64" i="42"/>
  <c r="AO20" i="42"/>
  <c r="AS15" i="42"/>
  <c r="AR17" i="42"/>
  <c r="AR16" i="42"/>
  <c r="AA118" i="42"/>
  <c r="Z21" i="42"/>
  <c r="AH46" i="42"/>
  <c r="AP68" i="42" l="1"/>
  <c r="AR111" i="42"/>
  <c r="AQ39" i="42"/>
  <c r="AS40" i="42"/>
  <c r="AR42" i="42"/>
  <c r="AR41" i="42"/>
  <c r="AR45" i="42" s="1"/>
  <c r="AO19" i="42"/>
  <c r="AQ92" i="42"/>
  <c r="AK91" i="42"/>
  <c r="AK94" i="42" s="1"/>
  <c r="AP19" i="42"/>
  <c r="AB118" i="42"/>
  <c r="AA21" i="42"/>
  <c r="AS17" i="42"/>
  <c r="AS16" i="42"/>
  <c r="AT15" i="42"/>
  <c r="AQ63" i="42"/>
  <c r="AT112" i="42"/>
  <c r="AS114" i="42"/>
  <c r="AS113" i="42"/>
  <c r="AQ135" i="42"/>
  <c r="AS90" i="42"/>
  <c r="AS87" i="42" s="1"/>
  <c r="AS89" i="42"/>
  <c r="AT88" i="42"/>
  <c r="AQ116" i="42"/>
  <c r="AK115" i="42"/>
  <c r="AR93" i="42"/>
  <c r="AR116" i="42"/>
  <c r="AL115" i="42"/>
  <c r="AI46" i="42"/>
  <c r="AJ18" i="42"/>
  <c r="AR66" i="42"/>
  <c r="AR65" i="42"/>
  <c r="AS64" i="42"/>
  <c r="AR117" i="42"/>
  <c r="AP20" i="42"/>
  <c r="AI18" i="42"/>
  <c r="AI70" i="42"/>
  <c r="AJ70" i="42" s="1"/>
  <c r="AR138" i="42"/>
  <c r="AS136" i="42"/>
  <c r="AR137" i="42"/>
  <c r="AR87" i="42"/>
  <c r="AQ69" i="42"/>
  <c r="AQ141" i="42"/>
  <c r="AR39" i="42" l="1"/>
  <c r="AS42" i="42"/>
  <c r="AT40" i="42"/>
  <c r="AS41" i="42"/>
  <c r="AS45" i="42" s="1"/>
  <c r="AR135" i="42"/>
  <c r="AR140" i="42" s="1"/>
  <c r="AK43" i="42"/>
  <c r="AQ44" i="42"/>
  <c r="AQ20" i="42"/>
  <c r="AJ46" i="42"/>
  <c r="AQ140" i="42"/>
  <c r="AK139" i="42"/>
  <c r="AK142" i="42" s="1"/>
  <c r="AQ68" i="42"/>
  <c r="AK67" i="42"/>
  <c r="AK70" i="42" s="1"/>
  <c r="AR92" i="42"/>
  <c r="AL91" i="42"/>
  <c r="AL94" i="42" s="1"/>
  <c r="AR69" i="42"/>
  <c r="AU88" i="42"/>
  <c r="AT90" i="42"/>
  <c r="AT89" i="42"/>
  <c r="AS117" i="42"/>
  <c r="AU15" i="42"/>
  <c r="AT17" i="42"/>
  <c r="AT16" i="42"/>
  <c r="AC118" i="42"/>
  <c r="AB21" i="42"/>
  <c r="AS65" i="42"/>
  <c r="AT64" i="42"/>
  <c r="AS66" i="42"/>
  <c r="AS63" i="42" s="1"/>
  <c r="AR141" i="42"/>
  <c r="AR63" i="42"/>
  <c r="AS93" i="42"/>
  <c r="AS111" i="42"/>
  <c r="AS138" i="42"/>
  <c r="AT136" i="42"/>
  <c r="AS137" i="42"/>
  <c r="AS92" i="42"/>
  <c r="AM91" i="42"/>
  <c r="AU112" i="42"/>
  <c r="AT114" i="42"/>
  <c r="AT113" i="42"/>
  <c r="AL139" i="42" l="1"/>
  <c r="AM94" i="42"/>
  <c r="AT42" i="42"/>
  <c r="AU40" i="42"/>
  <c r="AT41" i="42"/>
  <c r="AT45" i="42" s="1"/>
  <c r="AT87" i="42"/>
  <c r="AT92" i="42" s="1"/>
  <c r="AS39" i="42"/>
  <c r="AR44" i="42"/>
  <c r="AL43" i="42"/>
  <c r="AK18" i="42"/>
  <c r="AS141" i="42"/>
  <c r="AT111" i="42"/>
  <c r="AS116" i="42"/>
  <c r="AM115" i="42"/>
  <c r="AD118" i="42"/>
  <c r="AC21" i="42"/>
  <c r="AT93" i="42"/>
  <c r="AL142" i="42"/>
  <c r="AK46" i="42"/>
  <c r="AU114" i="42"/>
  <c r="AU113" i="42"/>
  <c r="AV112" i="42"/>
  <c r="AS68" i="42"/>
  <c r="AM67" i="42"/>
  <c r="AT138" i="42"/>
  <c r="AT137" i="42"/>
  <c r="AU136" i="42"/>
  <c r="AT65" i="42"/>
  <c r="AU64" i="42"/>
  <c r="AT66" i="42"/>
  <c r="AT63" i="42" s="1"/>
  <c r="AV88" i="42"/>
  <c r="AU90" i="42"/>
  <c r="AU89" i="42"/>
  <c r="AQ19" i="42"/>
  <c r="AR68" i="42"/>
  <c r="AL67" i="42"/>
  <c r="AL18" i="42" s="1"/>
  <c r="AT117" i="42"/>
  <c r="AS135" i="42"/>
  <c r="AS69" i="42"/>
  <c r="AV15" i="42"/>
  <c r="AU17" i="42"/>
  <c r="AU16" i="42"/>
  <c r="AR20" i="42"/>
  <c r="AR19" i="42" l="1"/>
  <c r="AS44" i="42"/>
  <c r="AM43" i="42"/>
  <c r="AN91" i="42"/>
  <c r="AN94" i="42" s="1"/>
  <c r="AV40" i="42"/>
  <c r="AU41" i="42"/>
  <c r="AU45" i="42" s="1"/>
  <c r="AU42" i="42"/>
  <c r="AT39" i="42"/>
  <c r="AS20" i="42"/>
  <c r="AT68" i="42"/>
  <c r="AN67" i="42"/>
  <c r="AT141" i="42"/>
  <c r="AS140" i="42"/>
  <c r="AS19" i="42" s="1"/>
  <c r="AM139" i="42"/>
  <c r="AM142" i="42" s="1"/>
  <c r="AU87" i="42"/>
  <c r="AU66" i="42"/>
  <c r="AU63" i="42" s="1"/>
  <c r="AU65" i="42"/>
  <c r="AV64" i="42"/>
  <c r="AT135" i="42"/>
  <c r="AU111" i="42"/>
  <c r="AV90" i="42"/>
  <c r="AV89" i="42"/>
  <c r="AW88" i="42"/>
  <c r="AT69" i="42"/>
  <c r="AT20" i="42" s="1"/>
  <c r="AE118" i="42"/>
  <c r="AD21" i="42"/>
  <c r="AL70" i="42"/>
  <c r="AM70" i="42" s="1"/>
  <c r="AT116" i="42"/>
  <c r="AN115" i="42"/>
  <c r="AW15" i="42"/>
  <c r="AV17" i="42"/>
  <c r="AV16" i="42"/>
  <c r="AV136" i="42"/>
  <c r="AU138" i="42"/>
  <c r="AU137" i="42"/>
  <c r="AW112" i="42"/>
  <c r="AV113" i="42"/>
  <c r="AV114" i="42"/>
  <c r="AU93" i="42"/>
  <c r="AM18" i="42"/>
  <c r="AU117" i="42"/>
  <c r="AL46" i="42"/>
  <c r="AU39" i="42" l="1"/>
  <c r="AU44" i="42" s="1"/>
  <c r="AT44" i="42"/>
  <c r="AN43" i="42"/>
  <c r="AW40" i="42"/>
  <c r="AV41" i="42"/>
  <c r="AV45" i="42" s="1"/>
  <c r="AV42" i="42"/>
  <c r="AV39" i="42" s="1"/>
  <c r="AN70" i="42"/>
  <c r="AV138" i="42"/>
  <c r="AW136" i="42"/>
  <c r="AV137" i="42"/>
  <c r="AU141" i="42"/>
  <c r="AF118" i="42"/>
  <c r="AE21" i="42"/>
  <c r="AM46" i="42"/>
  <c r="AV111" i="42"/>
  <c r="AU135" i="42"/>
  <c r="AW90" i="42"/>
  <c r="AW87" i="42" s="1"/>
  <c r="AW89" i="42"/>
  <c r="AX88" i="42"/>
  <c r="AU69" i="42"/>
  <c r="AU116" i="42"/>
  <c r="AO115" i="42"/>
  <c r="AU68" i="42"/>
  <c r="AO67" i="42"/>
  <c r="AW17" i="42"/>
  <c r="AW16" i="42"/>
  <c r="AX15" i="42"/>
  <c r="AV87" i="42"/>
  <c r="AT140" i="42"/>
  <c r="AT19" i="42" s="1"/>
  <c r="AN139" i="42"/>
  <c r="AN142" i="42" s="1"/>
  <c r="AU92" i="42"/>
  <c r="AO91" i="42"/>
  <c r="AO94" i="42" s="1"/>
  <c r="AV117" i="42"/>
  <c r="AV93" i="42"/>
  <c r="AX112" i="42"/>
  <c r="AW114" i="42"/>
  <c r="AW113" i="42"/>
  <c r="AV66" i="42"/>
  <c r="AV65" i="42"/>
  <c r="AW64" i="42"/>
  <c r="AV63" i="42" l="1"/>
  <c r="AO43" i="42"/>
  <c r="AW111" i="42"/>
  <c r="AW116" i="42" s="1"/>
  <c r="AV135" i="42"/>
  <c r="AV140" i="42" s="1"/>
  <c r="AP43" i="42"/>
  <c r="AV44" i="42"/>
  <c r="AW42" i="42"/>
  <c r="AW41" i="42"/>
  <c r="AW45" i="42" s="1"/>
  <c r="AX40" i="42"/>
  <c r="AU20" i="42"/>
  <c r="AV68" i="42"/>
  <c r="AP67" i="42"/>
  <c r="AW117" i="42"/>
  <c r="AN18" i="42"/>
  <c r="AW93" i="42"/>
  <c r="AV141" i="42"/>
  <c r="AW92" i="42"/>
  <c r="AQ91" i="42"/>
  <c r="AG118" i="42"/>
  <c r="AF21" i="42"/>
  <c r="AW138" i="42"/>
  <c r="AX136" i="42"/>
  <c r="AW137" i="42"/>
  <c r="AW66" i="42"/>
  <c r="AX64" i="42"/>
  <c r="AW65" i="42"/>
  <c r="AV92" i="42"/>
  <c r="AP91" i="42"/>
  <c r="AP94" i="42" s="1"/>
  <c r="AU140" i="42"/>
  <c r="AU19" i="42" s="1"/>
  <c r="AO139" i="42"/>
  <c r="AO142" i="42" s="1"/>
  <c r="AN46" i="42"/>
  <c r="AP139" i="42"/>
  <c r="AY112" i="42"/>
  <c r="AX114" i="42"/>
  <c r="AX113" i="42"/>
  <c r="AV69" i="42"/>
  <c r="AY15" i="42"/>
  <c r="AX17" i="42"/>
  <c r="AX16" i="42"/>
  <c r="AO70" i="42"/>
  <c r="AY88" i="42"/>
  <c r="AX90" i="42"/>
  <c r="AX89" i="42"/>
  <c r="AV116" i="42"/>
  <c r="AP115" i="42"/>
  <c r="AW39" i="42" l="1"/>
  <c r="AW44" i="42" s="1"/>
  <c r="AQ94" i="42"/>
  <c r="AW63" i="42"/>
  <c r="AQ67" i="42" s="1"/>
  <c r="AQ115" i="42"/>
  <c r="AP70" i="42"/>
  <c r="AY40" i="42"/>
  <c r="AX42" i="42"/>
  <c r="AX41" i="42"/>
  <c r="AX45" i="42" s="1"/>
  <c r="AQ43" i="42"/>
  <c r="AW135" i="42"/>
  <c r="AW140" i="42" s="1"/>
  <c r="AP142" i="42"/>
  <c r="AV20" i="42"/>
  <c r="AY114" i="42"/>
  <c r="AY113" i="42"/>
  <c r="AZ112" i="42"/>
  <c r="AO46" i="42"/>
  <c r="AX93" i="42"/>
  <c r="AX117" i="42"/>
  <c r="AW141" i="42"/>
  <c r="AH118" i="42"/>
  <c r="AG21" i="42"/>
  <c r="AO18" i="42"/>
  <c r="AP18" i="42"/>
  <c r="AZ88" i="42"/>
  <c r="AY90" i="42"/>
  <c r="AY89" i="42"/>
  <c r="AX66" i="42"/>
  <c r="AX63" i="42" s="1"/>
  <c r="AY64" i="42"/>
  <c r="AX65" i="42"/>
  <c r="AX87" i="42"/>
  <c r="AX111" i="42"/>
  <c r="AW69" i="42"/>
  <c r="AX137" i="42"/>
  <c r="AX138" i="42"/>
  <c r="AY136" i="42"/>
  <c r="AZ15" i="42"/>
  <c r="AY17" i="42"/>
  <c r="AY16" i="42"/>
  <c r="AV19" i="42"/>
  <c r="AW68" i="42"/>
  <c r="AX39" i="42" l="1"/>
  <c r="AX44" i="42" s="1"/>
  <c r="AY87" i="42"/>
  <c r="AY111" i="42"/>
  <c r="AW19" i="42"/>
  <c r="AZ40" i="42"/>
  <c r="AY42" i="42"/>
  <c r="AY39" i="42" s="1"/>
  <c r="AY41" i="42"/>
  <c r="AY45" i="42" s="1"/>
  <c r="AQ139" i="42"/>
  <c r="AQ142" i="42" s="1"/>
  <c r="AW20" i="42"/>
  <c r="BA15" i="42"/>
  <c r="AZ17" i="42"/>
  <c r="AZ16" i="42"/>
  <c r="AX135" i="42"/>
  <c r="AX116" i="42"/>
  <c r="AR115" i="42"/>
  <c r="AR118" i="42" s="1"/>
  <c r="AY66" i="42"/>
  <c r="AY63" i="42" s="1"/>
  <c r="AY65" i="42"/>
  <c r="AZ64" i="42"/>
  <c r="AZ90" i="42"/>
  <c r="AZ89" i="42"/>
  <c r="BA88" i="42"/>
  <c r="AP46" i="42"/>
  <c r="AY117" i="42"/>
  <c r="AX141" i="42"/>
  <c r="AX92" i="42"/>
  <c r="AR91" i="42"/>
  <c r="AR94" i="42" s="1"/>
  <c r="AI118" i="42"/>
  <c r="AH21" i="42"/>
  <c r="AY116" i="42"/>
  <c r="AS115" i="42"/>
  <c r="AX68" i="42"/>
  <c r="AR67" i="42"/>
  <c r="AQ70" i="42"/>
  <c r="AY93" i="42"/>
  <c r="AY138" i="42"/>
  <c r="AY137" i="42"/>
  <c r="AZ136" i="42"/>
  <c r="AX69" i="42"/>
  <c r="AY92" i="42"/>
  <c r="AS91" i="42"/>
  <c r="BA112" i="42"/>
  <c r="AZ114" i="42"/>
  <c r="AZ111" i="42" s="1"/>
  <c r="AZ113" i="42"/>
  <c r="AR43" i="42" l="1"/>
  <c r="AY44" i="42"/>
  <c r="AS43" i="42"/>
  <c r="AZ41" i="42"/>
  <c r="AZ45" i="42" s="1"/>
  <c r="BA40" i="42"/>
  <c r="AZ42" i="42"/>
  <c r="AZ39" i="42" s="1"/>
  <c r="AQ18" i="42"/>
  <c r="AY135" i="42"/>
  <c r="AY140" i="42" s="1"/>
  <c r="AX20" i="42"/>
  <c r="AR70" i="42"/>
  <c r="BB112" i="42"/>
  <c r="BA114" i="42"/>
  <c r="BA113" i="42"/>
  <c r="BA90" i="42"/>
  <c r="BA87" i="42" s="1"/>
  <c r="BA89" i="42"/>
  <c r="BB88" i="42"/>
  <c r="AY69" i="42"/>
  <c r="BA17" i="42"/>
  <c r="BA16" i="42"/>
  <c r="BB15" i="42"/>
  <c r="AJ118" i="42"/>
  <c r="AI21" i="42"/>
  <c r="AZ93" i="42"/>
  <c r="AY68" i="42"/>
  <c r="AS67" i="42"/>
  <c r="AX140" i="42"/>
  <c r="AX19" i="42" s="1"/>
  <c r="AR139" i="42"/>
  <c r="AR142" i="42" s="1"/>
  <c r="AZ117" i="42"/>
  <c r="AZ138" i="42"/>
  <c r="BA136" i="42"/>
  <c r="AZ137" i="42"/>
  <c r="AS94" i="42"/>
  <c r="AQ46" i="42"/>
  <c r="AZ87" i="42"/>
  <c r="AS118" i="42"/>
  <c r="AZ116" i="42"/>
  <c r="AT115" i="42"/>
  <c r="AY141" i="42"/>
  <c r="AZ66" i="42"/>
  <c r="AZ65" i="42"/>
  <c r="BA64" i="42"/>
  <c r="AZ44" i="42" l="1"/>
  <c r="AT43" i="42"/>
  <c r="BA41" i="42"/>
  <c r="BA45" i="42" s="1"/>
  <c r="BB40" i="42"/>
  <c r="BA42" i="42"/>
  <c r="BA39" i="42" s="1"/>
  <c r="AY19" i="42"/>
  <c r="AS139" i="42"/>
  <c r="AS18" i="42" s="1"/>
  <c r="AZ69" i="42"/>
  <c r="AZ63" i="42"/>
  <c r="AT118" i="42"/>
  <c r="AZ135" i="42"/>
  <c r="AK118" i="42"/>
  <c r="AJ21" i="42"/>
  <c r="BC15" i="42"/>
  <c r="BB17" i="42"/>
  <c r="BB16" i="42"/>
  <c r="AZ92" i="42"/>
  <c r="AT91" i="42"/>
  <c r="AT94" i="42" s="1"/>
  <c r="AR18" i="42"/>
  <c r="BC88" i="42"/>
  <c r="BB89" i="42"/>
  <c r="BB90" i="42"/>
  <c r="AS70" i="42"/>
  <c r="BA117" i="42"/>
  <c r="BA65" i="42"/>
  <c r="BB64" i="42"/>
  <c r="BA66" i="42"/>
  <c r="AQ21" i="42"/>
  <c r="AR46" i="42"/>
  <c r="AZ141" i="42"/>
  <c r="BA93" i="42"/>
  <c r="BA111" i="42"/>
  <c r="BA138" i="42"/>
  <c r="BB136" i="42"/>
  <c r="BA137" i="42"/>
  <c r="AY20" i="42"/>
  <c r="BA92" i="42"/>
  <c r="AU91" i="42"/>
  <c r="BC112" i="42"/>
  <c r="BB114" i="42"/>
  <c r="BB113" i="42"/>
  <c r="AS142" i="42" l="1"/>
  <c r="BA44" i="42"/>
  <c r="AU43" i="42"/>
  <c r="BB42" i="42"/>
  <c r="BB41" i="42"/>
  <c r="BB45" i="42" s="1"/>
  <c r="BC40" i="42"/>
  <c r="BB87" i="42"/>
  <c r="BB92" i="42" s="1"/>
  <c r="AU94" i="42"/>
  <c r="BC114" i="42"/>
  <c r="BC113" i="42"/>
  <c r="BD112" i="42"/>
  <c r="BA141" i="42"/>
  <c r="BB138" i="42"/>
  <c r="BB137" i="42"/>
  <c r="BC136" i="42"/>
  <c r="BD15" i="42"/>
  <c r="BC17" i="42"/>
  <c r="BC16" i="42"/>
  <c r="BA135" i="42"/>
  <c r="BA63" i="42"/>
  <c r="BB93" i="42"/>
  <c r="AZ20" i="42"/>
  <c r="BB117" i="42"/>
  <c r="BB111" i="42"/>
  <c r="BA116" i="42"/>
  <c r="AU115" i="42"/>
  <c r="AU118" i="42" s="1"/>
  <c r="AR21" i="42"/>
  <c r="AS46" i="42"/>
  <c r="BB65" i="42"/>
  <c r="BC64" i="42"/>
  <c r="BB66" i="42"/>
  <c r="BB63" i="42" s="1"/>
  <c r="BD88" i="42"/>
  <c r="BC90" i="42"/>
  <c r="BC89" i="42"/>
  <c r="AL118" i="42"/>
  <c r="AK21" i="42"/>
  <c r="AZ68" i="42"/>
  <c r="AT67" i="42"/>
  <c r="AT70" i="42" s="1"/>
  <c r="BA69" i="42"/>
  <c r="BA20" i="42" s="1"/>
  <c r="AZ140" i="42"/>
  <c r="AT139" i="42"/>
  <c r="AT142" i="42" s="1"/>
  <c r="BC87" i="42" l="1"/>
  <c r="AW91" i="42" s="1"/>
  <c r="AW94" i="42" s="1"/>
  <c r="AV91" i="42"/>
  <c r="AV94" i="42" s="1"/>
  <c r="BC42" i="42"/>
  <c r="BD40" i="42"/>
  <c r="BC41" i="42"/>
  <c r="BC45" i="42" s="1"/>
  <c r="BB39" i="42"/>
  <c r="BB135" i="42"/>
  <c r="BB140" i="42" s="1"/>
  <c r="BB68" i="42"/>
  <c r="AV67" i="42"/>
  <c r="AZ19" i="42"/>
  <c r="BC93" i="42"/>
  <c r="BC66" i="42"/>
  <c r="BC65" i="42"/>
  <c r="BD64" i="42"/>
  <c r="BE112" i="42"/>
  <c r="BD114" i="42"/>
  <c r="BD113" i="42"/>
  <c r="BA68" i="42"/>
  <c r="AU67" i="42"/>
  <c r="AU70" i="42" s="1"/>
  <c r="BE15" i="42"/>
  <c r="BD17" i="42"/>
  <c r="BD16" i="42"/>
  <c r="BD136" i="42"/>
  <c r="BC137" i="42"/>
  <c r="BC138" i="42"/>
  <c r="BC117" i="42"/>
  <c r="BC92" i="42"/>
  <c r="BB69" i="42"/>
  <c r="BD90" i="42"/>
  <c r="BD89" i="42"/>
  <c r="BE88" i="42"/>
  <c r="AS21" i="42"/>
  <c r="AT46" i="42"/>
  <c r="BB116" i="42"/>
  <c r="AV115" i="42"/>
  <c r="AV118" i="42" s="1"/>
  <c r="BB141" i="42"/>
  <c r="BC111" i="42"/>
  <c r="AT18" i="42"/>
  <c r="AM118" i="42"/>
  <c r="AL21" i="42"/>
  <c r="BA140" i="42"/>
  <c r="AU139" i="42"/>
  <c r="AU142" i="42" s="1"/>
  <c r="BC63" i="42" l="1"/>
  <c r="AV70" i="42"/>
  <c r="BC135" i="42"/>
  <c r="BB44" i="42"/>
  <c r="AV43" i="42"/>
  <c r="BD87" i="42"/>
  <c r="AX91" i="42" s="1"/>
  <c r="AX94" i="42" s="1"/>
  <c r="BE40" i="42"/>
  <c r="BD41" i="42"/>
  <c r="BD45" i="42" s="1"/>
  <c r="BD42" i="42"/>
  <c r="BD111" i="42"/>
  <c r="BD116" i="42" s="1"/>
  <c r="AV139" i="42"/>
  <c r="AV18" i="42" s="1"/>
  <c r="BC39" i="42"/>
  <c r="BC116" i="42"/>
  <c r="AW115" i="42"/>
  <c r="AW118" i="42" s="1"/>
  <c r="BE90" i="42"/>
  <c r="BE89" i="42"/>
  <c r="BF88" i="42"/>
  <c r="BD138" i="42"/>
  <c r="BE136" i="42"/>
  <c r="BD137" i="42"/>
  <c r="BD93" i="42"/>
  <c r="AU18" i="42"/>
  <c r="BF112" i="42"/>
  <c r="BE114" i="42"/>
  <c r="BE113" i="42"/>
  <c r="BC140" i="42"/>
  <c r="AW139" i="42"/>
  <c r="BD66" i="42"/>
  <c r="BD65" i="42"/>
  <c r="BE64" i="42"/>
  <c r="BB19" i="42"/>
  <c r="AT21" i="42"/>
  <c r="AU46" i="42"/>
  <c r="BB20" i="42"/>
  <c r="BC141" i="42"/>
  <c r="BC142" i="42"/>
  <c r="BE17" i="42"/>
  <c r="BE16" i="42"/>
  <c r="BF15" i="42"/>
  <c r="BA19" i="42"/>
  <c r="BD117" i="42"/>
  <c r="BC69" i="42"/>
  <c r="AN118" i="42"/>
  <c r="AM21" i="42"/>
  <c r="BC68" i="42"/>
  <c r="AW67" i="42"/>
  <c r="AV142" i="42" l="1"/>
  <c r="BE111" i="42"/>
  <c r="BD39" i="42"/>
  <c r="BD44" i="42" s="1"/>
  <c r="BC44" i="42"/>
  <c r="AW43" i="42"/>
  <c r="AW18" i="42"/>
  <c r="BD92" i="42"/>
  <c r="BE41" i="42"/>
  <c r="BE45" i="42" s="1"/>
  <c r="BE42" i="42"/>
  <c r="BE39" i="42" s="1"/>
  <c r="BF40" i="42"/>
  <c r="BD63" i="42"/>
  <c r="BD68" i="42" s="1"/>
  <c r="AX115" i="42"/>
  <c r="AX118" i="42" s="1"/>
  <c r="AW142" i="42"/>
  <c r="BC19" i="42"/>
  <c r="AW70" i="42"/>
  <c r="AO118" i="42"/>
  <c r="AN21" i="42"/>
  <c r="BG15" i="42"/>
  <c r="BF17" i="42"/>
  <c r="BF16" i="42"/>
  <c r="AU21" i="42"/>
  <c r="AV46" i="42"/>
  <c r="BE66" i="42"/>
  <c r="BF64" i="42"/>
  <c r="BE65" i="42"/>
  <c r="BD141" i="42"/>
  <c r="BE93" i="42"/>
  <c r="BC20" i="42"/>
  <c r="BD69" i="42"/>
  <c r="BE117" i="42"/>
  <c r="BE138" i="42"/>
  <c r="BF136" i="42"/>
  <c r="BE137" i="42"/>
  <c r="BE87" i="42"/>
  <c r="BE116" i="42"/>
  <c r="AY115" i="42"/>
  <c r="BD135" i="42"/>
  <c r="BG112" i="42"/>
  <c r="BF114" i="42"/>
  <c r="BF113" i="42"/>
  <c r="BG88" i="42"/>
  <c r="BF90" i="42"/>
  <c r="BF89" i="42"/>
  <c r="BD20" i="42" l="1"/>
  <c r="AX43" i="42"/>
  <c r="BE63" i="42"/>
  <c r="BF41" i="42"/>
  <c r="BF45" i="42" s="1"/>
  <c r="BG40" i="42"/>
  <c r="BF42" i="42"/>
  <c r="BF39" i="42" s="1"/>
  <c r="BE44" i="42"/>
  <c r="AY43" i="42"/>
  <c r="BF111" i="42"/>
  <c r="BF116" i="42" s="1"/>
  <c r="BE135" i="42"/>
  <c r="BE140" i="42" s="1"/>
  <c r="AY118" i="42"/>
  <c r="AX67" i="42"/>
  <c r="AX70" i="42" s="1"/>
  <c r="BF93" i="42"/>
  <c r="BG114" i="42"/>
  <c r="BG113" i="42"/>
  <c r="BH112" i="42"/>
  <c r="BF87" i="42"/>
  <c r="BH88" i="42"/>
  <c r="BG90" i="42"/>
  <c r="BG89" i="42"/>
  <c r="BF117" i="42"/>
  <c r="BE141" i="42"/>
  <c r="BF66" i="42"/>
  <c r="BG64" i="42"/>
  <c r="BF65" i="42"/>
  <c r="AP118" i="42"/>
  <c r="AP21" i="42" s="1"/>
  <c r="AO21" i="42"/>
  <c r="BF137" i="42"/>
  <c r="BF138" i="42"/>
  <c r="BG136" i="42"/>
  <c r="BE68" i="42"/>
  <c r="AY67" i="42"/>
  <c r="AY70" i="42" s="1"/>
  <c r="BD140" i="42"/>
  <c r="BD19" i="42" s="1"/>
  <c r="AX139" i="42"/>
  <c r="AX142" i="42" s="1"/>
  <c r="AV21" i="42"/>
  <c r="AW46" i="42"/>
  <c r="BH15" i="42"/>
  <c r="BG17" i="42"/>
  <c r="BG16" i="42"/>
  <c r="BE92" i="42"/>
  <c r="AY91" i="42"/>
  <c r="AY94" i="42" s="1"/>
  <c r="BE69" i="42"/>
  <c r="AZ115" i="42" l="1"/>
  <c r="AZ118" i="42" s="1"/>
  <c r="BF63" i="42"/>
  <c r="BF44" i="42"/>
  <c r="AZ43" i="42"/>
  <c r="AY139" i="42"/>
  <c r="AY142" i="42" s="1"/>
  <c r="BH40" i="42"/>
  <c r="BG42" i="42"/>
  <c r="BG41" i="42"/>
  <c r="BG45" i="42" s="1"/>
  <c r="BG111" i="42"/>
  <c r="BG116" i="42" s="1"/>
  <c r="BE20" i="42"/>
  <c r="AW21" i="42"/>
  <c r="AX46" i="42"/>
  <c r="BF135" i="42"/>
  <c r="BF69" i="42"/>
  <c r="BH90" i="42"/>
  <c r="BH89" i="42"/>
  <c r="BI88" i="42"/>
  <c r="BG117" i="42"/>
  <c r="BF141" i="42"/>
  <c r="BH64" i="42"/>
  <c r="BG66" i="42"/>
  <c r="BG65" i="42"/>
  <c r="BF68" i="42"/>
  <c r="AZ67" i="42"/>
  <c r="AZ70" i="42" s="1"/>
  <c r="BG93" i="42"/>
  <c r="BF92" i="42"/>
  <c r="AZ91" i="42"/>
  <c r="AZ94" i="42" s="1"/>
  <c r="BI15" i="42"/>
  <c r="BH17" i="42"/>
  <c r="BH16" i="42"/>
  <c r="BE19" i="42"/>
  <c r="BG138" i="42"/>
  <c r="BG137" i="42"/>
  <c r="BH136" i="42"/>
  <c r="AX18" i="42"/>
  <c r="BG87" i="42"/>
  <c r="BI112" i="42"/>
  <c r="BH114" i="42"/>
  <c r="BH113" i="42"/>
  <c r="AY18" i="42" l="1"/>
  <c r="BG39" i="42"/>
  <c r="BH111" i="42"/>
  <c r="BH116" i="42" s="1"/>
  <c r="BI40" i="42"/>
  <c r="BH42" i="42"/>
  <c r="BH39" i="42" s="1"/>
  <c r="BH41" i="42"/>
  <c r="BH45" i="42" s="1"/>
  <c r="BA115" i="42"/>
  <c r="BA118" i="42" s="1"/>
  <c r="BF20" i="42"/>
  <c r="BJ112" i="42"/>
  <c r="BI114" i="42"/>
  <c r="BI113" i="42"/>
  <c r="BH138" i="42"/>
  <c r="BI136" i="42"/>
  <c r="BH137" i="42"/>
  <c r="BG63" i="42"/>
  <c r="BI90" i="42"/>
  <c r="BI89" i="42"/>
  <c r="BJ88" i="42"/>
  <c r="AX21" i="42"/>
  <c r="AY46" i="42"/>
  <c r="BG92" i="42"/>
  <c r="BA91" i="42"/>
  <c r="BA94" i="42" s="1"/>
  <c r="BG141" i="42"/>
  <c r="BH66" i="42"/>
  <c r="BH63" i="42" s="1"/>
  <c r="BH65" i="42"/>
  <c r="BI64" i="42"/>
  <c r="BH93" i="42"/>
  <c r="BF140" i="42"/>
  <c r="BF19" i="42" s="1"/>
  <c r="AZ139" i="42"/>
  <c r="AZ142" i="42" s="1"/>
  <c r="BH117" i="42"/>
  <c r="BG135" i="42"/>
  <c r="BI17" i="42"/>
  <c r="BI16" i="42"/>
  <c r="BJ15" i="42"/>
  <c r="BH87" i="42"/>
  <c r="BG69" i="42"/>
  <c r="BI111" i="42" l="1"/>
  <c r="BB115" i="42"/>
  <c r="BB118" i="42" s="1"/>
  <c r="BH44" i="42"/>
  <c r="BB43" i="42"/>
  <c r="BJ40" i="42"/>
  <c r="BI42" i="42"/>
  <c r="BI39" i="42" s="1"/>
  <c r="BI41" i="42"/>
  <c r="BI45" i="42" s="1"/>
  <c r="BA43" i="42"/>
  <c r="BG44" i="42"/>
  <c r="BH92" i="42"/>
  <c r="BB91" i="42"/>
  <c r="BB94" i="42" s="1"/>
  <c r="BK88" i="42"/>
  <c r="BJ90" i="42"/>
  <c r="BJ89" i="42"/>
  <c r="BG68" i="42"/>
  <c r="BA67" i="42"/>
  <c r="BI117" i="42"/>
  <c r="BI93" i="42"/>
  <c r="AZ18" i="42"/>
  <c r="BH141" i="42"/>
  <c r="BI116" i="42"/>
  <c r="BC115" i="42"/>
  <c r="BC118" i="42" s="1"/>
  <c r="BI65" i="42"/>
  <c r="BJ64" i="42"/>
  <c r="BI66" i="42"/>
  <c r="BG20" i="42"/>
  <c r="BK15" i="42"/>
  <c r="BJ17" i="42"/>
  <c r="BJ16" i="42"/>
  <c r="BG140" i="42"/>
  <c r="BA139" i="42"/>
  <c r="BA142" i="42" s="1"/>
  <c r="BH69" i="42"/>
  <c r="AY21" i="42"/>
  <c r="AZ46" i="42"/>
  <c r="BI87" i="42"/>
  <c r="BI138" i="42"/>
  <c r="BJ136" i="42"/>
  <c r="BI137" i="42"/>
  <c r="BK112" i="42"/>
  <c r="BJ114" i="42"/>
  <c r="BJ113" i="42"/>
  <c r="BH68" i="42"/>
  <c r="BB67" i="42"/>
  <c r="BH135" i="42"/>
  <c r="BJ111" i="42" l="1"/>
  <c r="BJ116" i="42" s="1"/>
  <c r="BI44" i="42"/>
  <c r="BC43" i="42"/>
  <c r="BK40" i="42"/>
  <c r="BJ42" i="42"/>
  <c r="BJ41" i="42"/>
  <c r="BJ45" i="42" s="1"/>
  <c r="BD115" i="42"/>
  <c r="BD118" i="42" s="1"/>
  <c r="BK114" i="42"/>
  <c r="BK113" i="42"/>
  <c r="BL112" i="42"/>
  <c r="BH20" i="42"/>
  <c r="BK64" i="42"/>
  <c r="BJ65" i="42"/>
  <c r="BJ66" i="42"/>
  <c r="BI141" i="42"/>
  <c r="BL15" i="42"/>
  <c r="BK17" i="42"/>
  <c r="BK16" i="42"/>
  <c r="BI69" i="42"/>
  <c r="BJ93" i="42"/>
  <c r="BI92" i="42"/>
  <c r="BC91" i="42"/>
  <c r="BC94" i="42" s="1"/>
  <c r="BJ117" i="42"/>
  <c r="BJ138" i="42"/>
  <c r="BJ137" i="42"/>
  <c r="BK136" i="42"/>
  <c r="AZ21" i="42"/>
  <c r="BA46" i="42"/>
  <c r="BA18" i="42"/>
  <c r="BA70" i="42"/>
  <c r="BB70" i="42" s="1"/>
  <c r="BJ87" i="42"/>
  <c r="BH140" i="42"/>
  <c r="BH19" i="42" s="1"/>
  <c r="BB139" i="42"/>
  <c r="BB142" i="42" s="1"/>
  <c r="BI135" i="42"/>
  <c r="BI63" i="42"/>
  <c r="BG19" i="42"/>
  <c r="BL88" i="42"/>
  <c r="BK90" i="42"/>
  <c r="BK89" i="42"/>
  <c r="BJ63" i="42" l="1"/>
  <c r="BI20" i="42"/>
  <c r="BK111" i="42"/>
  <c r="BE115" i="42" s="1"/>
  <c r="BE118" i="42" s="1"/>
  <c r="BJ39" i="42"/>
  <c r="BK41" i="42"/>
  <c r="BK45" i="42" s="1"/>
  <c r="BL40" i="42"/>
  <c r="BK42" i="42"/>
  <c r="BK39" i="42" s="1"/>
  <c r="BB18" i="42"/>
  <c r="BK93" i="42"/>
  <c r="BK87" i="42"/>
  <c r="BL90" i="42"/>
  <c r="BL89" i="42"/>
  <c r="BM88" i="42"/>
  <c r="BM15" i="42"/>
  <c r="BL17" i="42"/>
  <c r="BL16" i="42"/>
  <c r="BL64" i="42"/>
  <c r="BK66" i="42"/>
  <c r="BK65" i="42"/>
  <c r="BK116" i="42"/>
  <c r="BI140" i="42"/>
  <c r="BC139" i="42"/>
  <c r="BL136" i="42"/>
  <c r="BK138" i="42"/>
  <c r="BK137" i="42"/>
  <c r="BI68" i="42"/>
  <c r="BC67" i="42"/>
  <c r="BC70" i="42" s="1"/>
  <c r="BJ141" i="42"/>
  <c r="BJ68" i="42"/>
  <c r="BD67" i="42"/>
  <c r="BM112" i="42"/>
  <c r="BL113" i="42"/>
  <c r="BL114" i="42"/>
  <c r="BJ92" i="42"/>
  <c r="BD91" i="42"/>
  <c r="BD94" i="42" s="1"/>
  <c r="BA21" i="42"/>
  <c r="BB46" i="42"/>
  <c r="BJ135" i="42"/>
  <c r="BJ69" i="42"/>
  <c r="BK117" i="42"/>
  <c r="BK44" i="42" l="1"/>
  <c r="BE43" i="42"/>
  <c r="BL42" i="42"/>
  <c r="BL41" i="42"/>
  <c r="BL45" i="42" s="1"/>
  <c r="BM40" i="42"/>
  <c r="BD70" i="42"/>
  <c r="BL111" i="42"/>
  <c r="BL116" i="42" s="1"/>
  <c r="BD43" i="42"/>
  <c r="BJ44" i="42"/>
  <c r="BL117" i="42"/>
  <c r="BI19" i="42"/>
  <c r="BK63" i="42"/>
  <c r="BM90" i="42"/>
  <c r="BM89" i="42"/>
  <c r="BN88" i="42"/>
  <c r="BK141" i="42"/>
  <c r="BL66" i="42"/>
  <c r="BL65" i="42"/>
  <c r="BM64" i="42"/>
  <c r="BM17" i="42"/>
  <c r="BM16" i="42"/>
  <c r="BN15" i="42"/>
  <c r="BL93" i="42"/>
  <c r="BJ140" i="42"/>
  <c r="BD139" i="42"/>
  <c r="BD142" i="42" s="1"/>
  <c r="BN112" i="42"/>
  <c r="BM114" i="42"/>
  <c r="BM113" i="42"/>
  <c r="BJ20" i="42"/>
  <c r="BB21" i="42"/>
  <c r="BC46" i="42"/>
  <c r="BC18" i="42"/>
  <c r="BK135" i="42"/>
  <c r="BL87" i="42"/>
  <c r="BL138" i="42"/>
  <c r="BM136" i="42"/>
  <c r="BL137" i="42"/>
  <c r="BK69" i="42"/>
  <c r="BK92" i="42"/>
  <c r="BE91" i="42"/>
  <c r="BE94" i="42" s="1"/>
  <c r="BL39" i="42" l="1"/>
  <c r="BL44" i="42" s="1"/>
  <c r="BF115" i="42"/>
  <c r="BF118" i="42" s="1"/>
  <c r="BJ19" i="42"/>
  <c r="BM87" i="42"/>
  <c r="BM92" i="42" s="1"/>
  <c r="BK20" i="42"/>
  <c r="BM41" i="42"/>
  <c r="BM45" i="42" s="1"/>
  <c r="BN40" i="42"/>
  <c r="BM42" i="42"/>
  <c r="BM39" i="42" s="1"/>
  <c r="BL135" i="42"/>
  <c r="BF139" i="42" s="1"/>
  <c r="BM111" i="42"/>
  <c r="BM116" i="42" s="1"/>
  <c r="BF43" i="42"/>
  <c r="BC21" i="42"/>
  <c r="BD46" i="42"/>
  <c r="BL63" i="42"/>
  <c r="BM93" i="42"/>
  <c r="BK140" i="42"/>
  <c r="BE139" i="42"/>
  <c r="BE142" i="42" s="1"/>
  <c r="BO112" i="42"/>
  <c r="BN114" i="42"/>
  <c r="BN111" i="42" s="1"/>
  <c r="BN113" i="42"/>
  <c r="BL141" i="42"/>
  <c r="BN64" i="42"/>
  <c r="BM66" i="42"/>
  <c r="BM65" i="42"/>
  <c r="BK68" i="42"/>
  <c r="BK19" i="42" s="1"/>
  <c r="BE67" i="42"/>
  <c r="BL92" i="42"/>
  <c r="BF91" i="42"/>
  <c r="BF94" i="42" s="1"/>
  <c r="BM138" i="42"/>
  <c r="BN136" i="42"/>
  <c r="BM137" i="42"/>
  <c r="BD18" i="42"/>
  <c r="BM117" i="42"/>
  <c r="BO15" i="42"/>
  <c r="BN17" i="42"/>
  <c r="BN16" i="42"/>
  <c r="BL69" i="42"/>
  <c r="BL20" i="42" s="1"/>
  <c r="BO88" i="42"/>
  <c r="BN90" i="42"/>
  <c r="BN89" i="42"/>
  <c r="BN87" i="42" l="1"/>
  <c r="BL140" i="42"/>
  <c r="BM44" i="42"/>
  <c r="BG43" i="42"/>
  <c r="BO40" i="42"/>
  <c r="BN42" i="42"/>
  <c r="BN41" i="42"/>
  <c r="BN45" i="42" s="1"/>
  <c r="BG115" i="42"/>
  <c r="BG118" i="42" s="1"/>
  <c r="BF142" i="42"/>
  <c r="BG91" i="42"/>
  <c r="BG94" i="42" s="1"/>
  <c r="BO64" i="42"/>
  <c r="BN66" i="42"/>
  <c r="BN63" i="42" s="1"/>
  <c r="BN65" i="42"/>
  <c r="BP88" i="42"/>
  <c r="BO90" i="42"/>
  <c r="BO89" i="42"/>
  <c r="BM135" i="42"/>
  <c r="BE18" i="42"/>
  <c r="BE70" i="42"/>
  <c r="BM63" i="42"/>
  <c r="BN117" i="42"/>
  <c r="BP15" i="42"/>
  <c r="BO17" i="42"/>
  <c r="BO16" i="42"/>
  <c r="BN116" i="42"/>
  <c r="BH115" i="42"/>
  <c r="BL68" i="42"/>
  <c r="BL19" i="42" s="1"/>
  <c r="BF67" i="42"/>
  <c r="BF18" i="42" s="1"/>
  <c r="BD21" i="42"/>
  <c r="BE46" i="42"/>
  <c r="BN93" i="42"/>
  <c r="BM141" i="42"/>
  <c r="BO114" i="42"/>
  <c r="BO113" i="42"/>
  <c r="BP112" i="42"/>
  <c r="BN92" i="42"/>
  <c r="BH91" i="42"/>
  <c r="BN137" i="42"/>
  <c r="BN138" i="42"/>
  <c r="BN135" i="42" s="1"/>
  <c r="BO136" i="42"/>
  <c r="BM69" i="42"/>
  <c r="BM20" i="42" s="1"/>
  <c r="BH94" i="42" l="1"/>
  <c r="BH118" i="42"/>
  <c r="BN39" i="42"/>
  <c r="BO42" i="42"/>
  <c r="BP40" i="42"/>
  <c r="BO41" i="42"/>
  <c r="BO45" i="42" s="1"/>
  <c r="BO111" i="42"/>
  <c r="BF70" i="42"/>
  <c r="BO87" i="42"/>
  <c r="BP64" i="42"/>
  <c r="BO66" i="42"/>
  <c r="BO65" i="42"/>
  <c r="BE21" i="42"/>
  <c r="BF46" i="42"/>
  <c r="BO138" i="42"/>
  <c r="BO137" i="42"/>
  <c r="BP136" i="42"/>
  <c r="BQ15" i="42"/>
  <c r="BP17" i="42"/>
  <c r="BP16" i="42"/>
  <c r="BP90" i="42"/>
  <c r="BP89" i="42"/>
  <c r="BQ88" i="42"/>
  <c r="BN140" i="42"/>
  <c r="BH139" i="42"/>
  <c r="BQ112" i="42"/>
  <c r="BP114" i="42"/>
  <c r="BP111" i="42" s="1"/>
  <c r="BP113" i="42"/>
  <c r="BM140" i="42"/>
  <c r="BG139" i="42"/>
  <c r="BG142" i="42" s="1"/>
  <c r="BN69" i="42"/>
  <c r="BN141" i="42"/>
  <c r="BO117" i="42"/>
  <c r="BM68" i="42"/>
  <c r="BG67" i="42"/>
  <c r="BO93" i="42"/>
  <c r="BN68" i="42"/>
  <c r="BH67" i="42"/>
  <c r="BQ40" i="42" l="1"/>
  <c r="BP42" i="42"/>
  <c r="BP41" i="42"/>
  <c r="BP45" i="42" s="1"/>
  <c r="BM19" i="42"/>
  <c r="BO39" i="42"/>
  <c r="BG18" i="42"/>
  <c r="BH43" i="42"/>
  <c r="BH18" i="42" s="1"/>
  <c r="BN44" i="42"/>
  <c r="BN19" i="42" s="1"/>
  <c r="BO63" i="42"/>
  <c r="BO68" i="42" s="1"/>
  <c r="BH142" i="42"/>
  <c r="BR112" i="42"/>
  <c r="BQ114" i="42"/>
  <c r="BQ113" i="42"/>
  <c r="BQ90" i="42"/>
  <c r="BQ89" i="42"/>
  <c r="BR88" i="42"/>
  <c r="BO135" i="42"/>
  <c r="BO69" i="42"/>
  <c r="BO92" i="42"/>
  <c r="BI91" i="42"/>
  <c r="BI94" i="42" s="1"/>
  <c r="BG70" i="42"/>
  <c r="BH70" i="42" s="1"/>
  <c r="BO116" i="42"/>
  <c r="BI115" i="42"/>
  <c r="BI118" i="42" s="1"/>
  <c r="BP93" i="42"/>
  <c r="BF21" i="42"/>
  <c r="BG46" i="42"/>
  <c r="BN20" i="42"/>
  <c r="BP117" i="42"/>
  <c r="BP87" i="42"/>
  <c r="BP138" i="42"/>
  <c r="BQ136" i="42"/>
  <c r="BP137" i="42"/>
  <c r="BP66" i="42"/>
  <c r="BP65" i="42"/>
  <c r="BQ64" i="42"/>
  <c r="BP116" i="42"/>
  <c r="BJ115" i="42"/>
  <c r="BQ17" i="42"/>
  <c r="BQ16" i="42"/>
  <c r="BR15" i="42"/>
  <c r="BO141" i="42"/>
  <c r="BP39" i="42" l="1"/>
  <c r="BP44" i="42" s="1"/>
  <c r="BI43" i="42"/>
  <c r="BO44" i="42"/>
  <c r="BR40" i="42"/>
  <c r="BQ41" i="42"/>
  <c r="BQ45" i="42" s="1"/>
  <c r="BQ42" i="42"/>
  <c r="BQ39" i="42" s="1"/>
  <c r="BP63" i="42"/>
  <c r="BP68" i="42" s="1"/>
  <c r="BQ111" i="42"/>
  <c r="BQ116" i="42" s="1"/>
  <c r="BI67" i="42"/>
  <c r="BI70" i="42" s="1"/>
  <c r="BS88" i="42"/>
  <c r="BR89" i="42"/>
  <c r="BR90" i="42"/>
  <c r="BP141" i="42"/>
  <c r="BQ65" i="42"/>
  <c r="BR64" i="42"/>
  <c r="BQ66" i="42"/>
  <c r="BQ138" i="42"/>
  <c r="BQ135" i="42" s="1"/>
  <c r="BR136" i="42"/>
  <c r="BQ137" i="42"/>
  <c r="BO20" i="42"/>
  <c r="BQ93" i="42"/>
  <c r="BS112" i="42"/>
  <c r="BR114" i="42"/>
  <c r="BR113" i="42"/>
  <c r="BS15" i="42"/>
  <c r="BR17" i="42"/>
  <c r="BR16" i="42"/>
  <c r="BP69" i="42"/>
  <c r="BP135" i="42"/>
  <c r="BQ87" i="42"/>
  <c r="BP92" i="42"/>
  <c r="BJ91" i="42"/>
  <c r="BJ94" i="42" s="1"/>
  <c r="BG21" i="42"/>
  <c r="BH46" i="42"/>
  <c r="BJ118" i="42"/>
  <c r="BO140" i="42"/>
  <c r="BO19" i="42" s="1"/>
  <c r="BI139" i="42"/>
  <c r="BQ117" i="42"/>
  <c r="BJ43" i="42" l="1"/>
  <c r="BQ44" i="42"/>
  <c r="BK43" i="42"/>
  <c r="BK115" i="42"/>
  <c r="BK118" i="42" s="1"/>
  <c r="BS40" i="42"/>
  <c r="BR42" i="42"/>
  <c r="BR41" i="42"/>
  <c r="BR45" i="42" s="1"/>
  <c r="BR111" i="42"/>
  <c r="BR116" i="42" s="1"/>
  <c r="BP20" i="42"/>
  <c r="BJ67" i="42"/>
  <c r="BJ70" i="42" s="1"/>
  <c r="BI18" i="42"/>
  <c r="BI142" i="42"/>
  <c r="BQ141" i="42"/>
  <c r="BS64" i="42"/>
  <c r="BR65" i="42"/>
  <c r="BR66" i="42"/>
  <c r="BR63" i="42" s="1"/>
  <c r="BH21" i="42"/>
  <c r="BI46" i="42"/>
  <c r="BS114" i="42"/>
  <c r="BS113" i="42"/>
  <c r="BT112" i="42"/>
  <c r="BR138" i="42"/>
  <c r="BR137" i="42"/>
  <c r="BS136" i="42"/>
  <c r="BQ69" i="42"/>
  <c r="BR87" i="42"/>
  <c r="BQ140" i="42"/>
  <c r="BK139" i="42"/>
  <c r="BR93" i="42"/>
  <c r="BP140" i="42"/>
  <c r="BP19" i="42" s="1"/>
  <c r="BJ139" i="42"/>
  <c r="BQ92" i="42"/>
  <c r="BK91" i="42"/>
  <c r="BK94" i="42" s="1"/>
  <c r="BT15" i="42"/>
  <c r="BS17" i="42"/>
  <c r="BS16" i="42"/>
  <c r="BR117" i="42"/>
  <c r="BQ63" i="42"/>
  <c r="BT88" i="42"/>
  <c r="BS90" i="42"/>
  <c r="BS89" i="42"/>
  <c r="BR39" i="42" l="1"/>
  <c r="BS41" i="42"/>
  <c r="BS45" i="42" s="1"/>
  <c r="BT40" i="42"/>
  <c r="BS42" i="42"/>
  <c r="BS39" i="42" s="1"/>
  <c r="BS111" i="42"/>
  <c r="BS116" i="42" s="1"/>
  <c r="BS87" i="42"/>
  <c r="BS92" i="42" s="1"/>
  <c r="BL115" i="42"/>
  <c r="BL118" i="42" s="1"/>
  <c r="BJ18" i="42"/>
  <c r="BQ20" i="42"/>
  <c r="BT90" i="42"/>
  <c r="BT89" i="42"/>
  <c r="BU88" i="42"/>
  <c r="BS93" i="42"/>
  <c r="BJ142" i="42"/>
  <c r="BK142" i="42" s="1"/>
  <c r="BT136" i="42"/>
  <c r="BS138" i="42"/>
  <c r="BS137" i="42"/>
  <c r="BR92" i="42"/>
  <c r="BL91" i="42"/>
  <c r="BL94" i="42" s="1"/>
  <c r="BR141" i="42"/>
  <c r="BU112" i="42"/>
  <c r="BT114" i="42"/>
  <c r="BT113" i="42"/>
  <c r="BR68" i="42"/>
  <c r="BL67" i="42"/>
  <c r="BR135" i="42"/>
  <c r="BS117" i="42"/>
  <c r="BI21" i="42"/>
  <c r="BJ46" i="42"/>
  <c r="BR69" i="42"/>
  <c r="BR20" i="42" s="1"/>
  <c r="BQ68" i="42"/>
  <c r="BQ19" i="42" s="1"/>
  <c r="BK67" i="42"/>
  <c r="BK18" i="42" s="1"/>
  <c r="BU15" i="42"/>
  <c r="BT17" i="42"/>
  <c r="BT16" i="42"/>
  <c r="BT64" i="42"/>
  <c r="BS66" i="42"/>
  <c r="BS65" i="42"/>
  <c r="BM115" i="42" l="1"/>
  <c r="BM118" i="42" s="1"/>
  <c r="BM91" i="42"/>
  <c r="BS63" i="42"/>
  <c r="BS135" i="42"/>
  <c r="BM139" i="42" s="1"/>
  <c r="BS44" i="42"/>
  <c r="BM43" i="42"/>
  <c r="BU40" i="42"/>
  <c r="BT42" i="42"/>
  <c r="BT41" i="42"/>
  <c r="BT45" i="42" s="1"/>
  <c r="BR44" i="42"/>
  <c r="BL43" i="42"/>
  <c r="BM94" i="42"/>
  <c r="BT87" i="42"/>
  <c r="BT92" i="42" s="1"/>
  <c r="BT66" i="42"/>
  <c r="BT65" i="42"/>
  <c r="BU64" i="42"/>
  <c r="BU17" i="42"/>
  <c r="BU16" i="42"/>
  <c r="BV15" i="42"/>
  <c r="BT111" i="42"/>
  <c r="BS141" i="42"/>
  <c r="BU90" i="42"/>
  <c r="BU89" i="42"/>
  <c r="BV88" i="42"/>
  <c r="BV112" i="42"/>
  <c r="BU114" i="42"/>
  <c r="BU113" i="42"/>
  <c r="BS69" i="42"/>
  <c r="BS20" i="42" s="1"/>
  <c r="BJ21" i="42"/>
  <c r="BK46" i="42"/>
  <c r="BR140" i="42"/>
  <c r="BL139" i="42"/>
  <c r="BL142" i="42" s="1"/>
  <c r="BK70" i="42"/>
  <c r="BL70" i="42" s="1"/>
  <c r="BT138" i="42"/>
  <c r="BU136" i="42"/>
  <c r="BT137" i="42"/>
  <c r="BT93" i="42"/>
  <c r="BS68" i="42"/>
  <c r="BM67" i="42"/>
  <c r="BT117" i="42"/>
  <c r="BN91" i="42"/>
  <c r="BN94" i="42" s="1"/>
  <c r="BT39" i="42" l="1"/>
  <c r="BN43" i="42" s="1"/>
  <c r="BS140" i="42"/>
  <c r="BU41" i="42"/>
  <c r="BU45" i="42" s="1"/>
  <c r="BU42" i="42"/>
  <c r="BV40" i="42"/>
  <c r="BU111" i="42"/>
  <c r="BU116" i="42" s="1"/>
  <c r="BM142" i="42"/>
  <c r="BR19" i="42"/>
  <c r="BT63" i="42"/>
  <c r="BN67" i="42" s="1"/>
  <c r="BM18" i="42"/>
  <c r="BS19" i="42"/>
  <c r="BT135" i="42"/>
  <c r="BM70" i="42"/>
  <c r="BK21" i="42"/>
  <c r="BL46" i="42"/>
  <c r="BU117" i="42"/>
  <c r="BW88" i="42"/>
  <c r="BV90" i="42"/>
  <c r="BV89" i="42"/>
  <c r="BL18" i="42"/>
  <c r="BU93" i="42"/>
  <c r="BV64" i="42"/>
  <c r="BU66" i="42"/>
  <c r="BU65" i="42"/>
  <c r="BT141" i="42"/>
  <c r="BU138" i="42"/>
  <c r="BV136" i="42"/>
  <c r="BU137" i="42"/>
  <c r="BW112" i="42"/>
  <c r="BV114" i="42"/>
  <c r="BV113" i="42"/>
  <c r="BU87" i="42"/>
  <c r="BT116" i="42"/>
  <c r="BN115" i="42"/>
  <c r="BN118" i="42" s="1"/>
  <c r="BW15" i="42"/>
  <c r="BV17" i="42"/>
  <c r="BV16" i="42"/>
  <c r="BT69" i="42"/>
  <c r="BU39" i="42" l="1"/>
  <c r="BO43" i="42" s="1"/>
  <c r="BT44" i="42"/>
  <c r="BT68" i="42"/>
  <c r="BO115" i="42"/>
  <c r="BW40" i="42"/>
  <c r="BV42" i="42"/>
  <c r="BV41" i="42"/>
  <c r="BV45" i="42" s="1"/>
  <c r="BV87" i="42"/>
  <c r="BP91" i="42" s="1"/>
  <c r="BN70" i="42"/>
  <c r="BT20" i="42"/>
  <c r="BO118" i="42"/>
  <c r="BX15" i="42"/>
  <c r="BW17" i="42"/>
  <c r="BW16" i="42"/>
  <c r="BW114" i="42"/>
  <c r="BW113" i="42"/>
  <c r="BX112" i="42"/>
  <c r="BU69" i="42"/>
  <c r="BU92" i="42"/>
  <c r="BO91" i="42"/>
  <c r="BO94" i="42" s="1"/>
  <c r="BU141" i="42"/>
  <c r="BU63" i="42"/>
  <c r="BX88" i="42"/>
  <c r="BW90" i="42"/>
  <c r="BW89" i="42"/>
  <c r="BV117" i="42"/>
  <c r="BV137" i="42"/>
  <c r="BV138" i="42"/>
  <c r="BW136" i="42"/>
  <c r="BW64" i="42"/>
  <c r="BV66" i="42"/>
  <c r="BV65" i="42"/>
  <c r="BT140" i="42"/>
  <c r="BT19" i="42" s="1"/>
  <c r="BN139" i="42"/>
  <c r="BN142" i="42" s="1"/>
  <c r="BV111" i="42"/>
  <c r="BU135" i="42"/>
  <c r="BV93" i="42"/>
  <c r="BL21" i="42"/>
  <c r="BM46" i="42"/>
  <c r="BU44" i="42" l="1"/>
  <c r="BV92" i="42"/>
  <c r="BV39" i="42"/>
  <c r="BW41" i="42"/>
  <c r="BW45" i="42" s="1"/>
  <c r="BX40" i="42"/>
  <c r="BW42" i="42"/>
  <c r="BW39" i="42" s="1"/>
  <c r="BV63" i="42"/>
  <c r="BV68" i="42" s="1"/>
  <c r="BN18" i="42"/>
  <c r="BV116" i="42"/>
  <c r="BP115" i="42"/>
  <c r="BP118" i="42" s="1"/>
  <c r="BM21" i="42"/>
  <c r="BN46" i="42"/>
  <c r="BX64" i="42"/>
  <c r="BW66" i="42"/>
  <c r="BW65" i="42"/>
  <c r="BW87" i="42"/>
  <c r="BU20" i="42"/>
  <c r="BW111" i="42"/>
  <c r="BW138" i="42"/>
  <c r="BW137" i="42"/>
  <c r="BX136" i="42"/>
  <c r="BY88" i="42"/>
  <c r="BX90" i="42"/>
  <c r="BX89" i="42"/>
  <c r="BP94" i="42"/>
  <c r="BU140" i="42"/>
  <c r="BO139" i="42"/>
  <c r="BO142" i="42" s="1"/>
  <c r="BV69" i="42"/>
  <c r="BV135" i="42"/>
  <c r="BU68" i="42"/>
  <c r="BO67" i="42"/>
  <c r="BY112" i="42"/>
  <c r="BX114" i="42"/>
  <c r="BX113" i="42"/>
  <c r="BV141" i="42"/>
  <c r="BW93" i="42"/>
  <c r="BW117" i="42"/>
  <c r="BY15" i="42"/>
  <c r="BX17" i="42"/>
  <c r="BX16" i="42"/>
  <c r="BU19" i="42" l="1"/>
  <c r="BW44" i="42"/>
  <c r="BQ43" i="42"/>
  <c r="BX42" i="42"/>
  <c r="BX41" i="42"/>
  <c r="BX45" i="42" s="1"/>
  <c r="BY40" i="42"/>
  <c r="BP67" i="42"/>
  <c r="BV44" i="42"/>
  <c r="BP43" i="42"/>
  <c r="BX111" i="42"/>
  <c r="BX116" i="42" s="1"/>
  <c r="BW63" i="42"/>
  <c r="BW68" i="42" s="1"/>
  <c r="BO18" i="42"/>
  <c r="BO70" i="42"/>
  <c r="BP70" i="42" s="1"/>
  <c r="BV140" i="42"/>
  <c r="BP139" i="42"/>
  <c r="BP142" i="42" s="1"/>
  <c r="BW135" i="42"/>
  <c r="BW92" i="42"/>
  <c r="BQ91" i="42"/>
  <c r="BQ94" i="42" s="1"/>
  <c r="BW69" i="42"/>
  <c r="BX117" i="42"/>
  <c r="BV20" i="42"/>
  <c r="BX93" i="42"/>
  <c r="BX87" i="42"/>
  <c r="BX138" i="42"/>
  <c r="BY136" i="42"/>
  <c r="BX137" i="42"/>
  <c r="BW116" i="42"/>
  <c r="BQ115" i="42"/>
  <c r="BQ118" i="42" s="1"/>
  <c r="BX66" i="42"/>
  <c r="BX65" i="42"/>
  <c r="BY64" i="42"/>
  <c r="BY17" i="42"/>
  <c r="BY16" i="42"/>
  <c r="BZ15" i="42"/>
  <c r="BZ112" i="42"/>
  <c r="BY114" i="42"/>
  <c r="BY113" i="42"/>
  <c r="BY90" i="42"/>
  <c r="BY89" i="42"/>
  <c r="BZ88" i="42"/>
  <c r="BW141" i="42"/>
  <c r="BN21" i="42"/>
  <c r="BO46" i="42"/>
  <c r="BV19" i="42" l="1"/>
  <c r="BX39" i="42"/>
  <c r="BQ67" i="42"/>
  <c r="BY111" i="42"/>
  <c r="BS115" i="42" s="1"/>
  <c r="BY42" i="42"/>
  <c r="BY41" i="42"/>
  <c r="BY45" i="42" s="1"/>
  <c r="BZ40" i="42"/>
  <c r="BX63" i="42"/>
  <c r="BR67" i="42" s="1"/>
  <c r="BR43" i="42"/>
  <c r="BX44" i="42"/>
  <c r="BR115" i="42"/>
  <c r="BR118" i="42" s="1"/>
  <c r="BP18" i="42"/>
  <c r="BO21" i="42"/>
  <c r="BP46" i="42"/>
  <c r="BY93" i="42"/>
  <c r="BY65" i="42"/>
  <c r="BZ64" i="42"/>
  <c r="BY66" i="42"/>
  <c r="BY138" i="42"/>
  <c r="BY135" i="42" s="1"/>
  <c r="BZ136" i="42"/>
  <c r="BY137" i="42"/>
  <c r="BX141" i="42"/>
  <c r="BY87" i="42"/>
  <c r="BY117" i="42"/>
  <c r="CA15" i="42"/>
  <c r="BZ17" i="42"/>
  <c r="BZ16" i="42"/>
  <c r="BX69" i="42"/>
  <c r="BX20" i="42" s="1"/>
  <c r="BX135" i="42"/>
  <c r="BQ70" i="42"/>
  <c r="BX92" i="42"/>
  <c r="BR91" i="42"/>
  <c r="BR94" i="42" s="1"/>
  <c r="BW20" i="42"/>
  <c r="CA88" i="42"/>
  <c r="BZ90" i="42"/>
  <c r="BZ89" i="42"/>
  <c r="CA112" i="42"/>
  <c r="BZ114" i="42"/>
  <c r="BZ113" i="42"/>
  <c r="BW140" i="42"/>
  <c r="BW19" i="42" s="1"/>
  <c r="BQ139" i="42"/>
  <c r="BQ142" i="42" s="1"/>
  <c r="BY116" i="42" l="1"/>
  <c r="BS118" i="42"/>
  <c r="CA40" i="42"/>
  <c r="BZ41" i="42"/>
  <c r="BZ45" i="42" s="1"/>
  <c r="BZ42" i="42"/>
  <c r="BZ39" i="42" s="1"/>
  <c r="BY39" i="42"/>
  <c r="BX68" i="42"/>
  <c r="BQ18" i="42"/>
  <c r="BR70" i="42"/>
  <c r="CA114" i="42"/>
  <c r="CA113" i="42"/>
  <c r="CB112" i="42"/>
  <c r="BY141" i="42"/>
  <c r="CA64" i="42"/>
  <c r="BZ65" i="42"/>
  <c r="BZ66" i="42"/>
  <c r="BP21" i="42"/>
  <c r="BQ46" i="42"/>
  <c r="BX140" i="42"/>
  <c r="BR139" i="42"/>
  <c r="BR142" i="42" s="1"/>
  <c r="BY92" i="42"/>
  <c r="BS91" i="42"/>
  <c r="BS94" i="42" s="1"/>
  <c r="BZ138" i="42"/>
  <c r="BZ137" i="42"/>
  <c r="CA136" i="42"/>
  <c r="BY69" i="42"/>
  <c r="BZ117" i="42"/>
  <c r="CB15" i="42"/>
  <c r="CA17" i="42"/>
  <c r="CA16" i="42"/>
  <c r="BY140" i="42"/>
  <c r="BS139" i="42"/>
  <c r="BZ93" i="42"/>
  <c r="BZ87" i="42"/>
  <c r="BZ111" i="42"/>
  <c r="CB88" i="42"/>
  <c r="CA90" i="42"/>
  <c r="CA89" i="42"/>
  <c r="BY63" i="42"/>
  <c r="BX19" i="42" l="1"/>
  <c r="BY44" i="42"/>
  <c r="BS43" i="42"/>
  <c r="BT43" i="42"/>
  <c r="BZ44" i="42"/>
  <c r="CA87" i="42"/>
  <c r="CA92" i="42" s="1"/>
  <c r="CA42" i="42"/>
  <c r="CA41" i="42"/>
  <c r="CA45" i="42" s="1"/>
  <c r="CB40" i="42"/>
  <c r="BR18" i="42"/>
  <c r="BY20" i="42"/>
  <c r="BZ92" i="42"/>
  <c r="BT91" i="42"/>
  <c r="BT94" i="42" s="1"/>
  <c r="CA93" i="42"/>
  <c r="CC15" i="42"/>
  <c r="CB17" i="42"/>
  <c r="CB16" i="42"/>
  <c r="CB136" i="42"/>
  <c r="CA138" i="42"/>
  <c r="CA137" i="42"/>
  <c r="BZ63" i="42"/>
  <c r="CA111" i="42"/>
  <c r="BZ141" i="42"/>
  <c r="BZ69" i="42"/>
  <c r="BS142" i="42"/>
  <c r="BY68" i="42"/>
  <c r="BY19" i="42" s="1"/>
  <c r="BS67" i="42"/>
  <c r="CC88" i="42"/>
  <c r="CB90" i="42"/>
  <c r="CB89" i="42"/>
  <c r="BZ135" i="42"/>
  <c r="BQ21" i="42"/>
  <c r="BR46" i="42"/>
  <c r="CB64" i="42"/>
  <c r="CA66" i="42"/>
  <c r="CA65" i="42"/>
  <c r="CC112" i="42"/>
  <c r="CB113" i="42"/>
  <c r="CB114" i="42"/>
  <c r="CB111" i="42" s="1"/>
  <c r="BZ116" i="42"/>
  <c r="BT115" i="42"/>
  <c r="BT118" i="42" s="1"/>
  <c r="CA117" i="42"/>
  <c r="CB87" i="42" l="1"/>
  <c r="BV91" i="42" s="1"/>
  <c r="CC40" i="42"/>
  <c r="CB42" i="42"/>
  <c r="CB41" i="42"/>
  <c r="CB45" i="42" s="1"/>
  <c r="CA39" i="42"/>
  <c r="CA135" i="42"/>
  <c r="CA140" i="42" s="1"/>
  <c r="BU91" i="42"/>
  <c r="BU94" i="42" s="1"/>
  <c r="CB116" i="42"/>
  <c r="BV115" i="42"/>
  <c r="CA63" i="42"/>
  <c r="CB117" i="42"/>
  <c r="CB66" i="42"/>
  <c r="CB65" i="42"/>
  <c r="CC64" i="42"/>
  <c r="CB93" i="42"/>
  <c r="BZ20" i="42"/>
  <c r="BZ68" i="42"/>
  <c r="BT67" i="42"/>
  <c r="CD112" i="42"/>
  <c r="CC114" i="42"/>
  <c r="CC113" i="42"/>
  <c r="BR21" i="42"/>
  <c r="BS46" i="42"/>
  <c r="CA141" i="42"/>
  <c r="CA69" i="42"/>
  <c r="CC90" i="42"/>
  <c r="CC89" i="42"/>
  <c r="CD88" i="42"/>
  <c r="BZ140" i="42"/>
  <c r="BT139" i="42"/>
  <c r="BT142" i="42" s="1"/>
  <c r="BS18" i="42"/>
  <c r="BS70" i="42"/>
  <c r="CA116" i="42"/>
  <c r="BU115" i="42"/>
  <c r="BU118" i="42" s="1"/>
  <c r="CB138" i="42"/>
  <c r="CC136" i="42"/>
  <c r="CB137" i="42"/>
  <c r="CC17" i="42"/>
  <c r="CC16" i="42"/>
  <c r="CD15" i="42"/>
  <c r="CB92" i="42" l="1"/>
  <c r="BV118" i="42"/>
  <c r="CB63" i="42"/>
  <c r="CB68" i="42" s="1"/>
  <c r="CB135" i="42"/>
  <c r="BV139" i="42" s="1"/>
  <c r="BV142" i="42" s="1"/>
  <c r="BU139" i="42"/>
  <c r="BU142" i="42" s="1"/>
  <c r="CC87" i="42"/>
  <c r="CC92" i="42" s="1"/>
  <c r="BU43" i="42"/>
  <c r="CA44" i="42"/>
  <c r="CB39" i="42"/>
  <c r="BV94" i="42"/>
  <c r="CC42" i="42"/>
  <c r="CD40" i="42"/>
  <c r="CC41" i="42"/>
  <c r="CC45" i="42" s="1"/>
  <c r="CA20" i="42"/>
  <c r="BT70" i="42"/>
  <c r="CB140" i="42"/>
  <c r="CE88" i="42"/>
  <c r="CD90" i="42"/>
  <c r="CD89" i="42"/>
  <c r="CC111" i="42"/>
  <c r="BZ19" i="42"/>
  <c r="CD64" i="42"/>
  <c r="CC66" i="42"/>
  <c r="CC65" i="42"/>
  <c r="CC117" i="42"/>
  <c r="CB141" i="42"/>
  <c r="CC93" i="42"/>
  <c r="BS21" i="42"/>
  <c r="BT46" i="42"/>
  <c r="CE112" i="42"/>
  <c r="CD114" i="42"/>
  <c r="CD113" i="42"/>
  <c r="CB69" i="42"/>
  <c r="CE15" i="42"/>
  <c r="CD17" i="42"/>
  <c r="CD16" i="42"/>
  <c r="CC138" i="42"/>
  <c r="CD136" i="42"/>
  <c r="CC137" i="42"/>
  <c r="BT18" i="42"/>
  <c r="BV67" i="42"/>
  <c r="CA68" i="42"/>
  <c r="BU67" i="42"/>
  <c r="BU18" i="42" s="1"/>
  <c r="CC135" i="42" l="1"/>
  <c r="CC140" i="42" s="1"/>
  <c r="CC39" i="42"/>
  <c r="CC44" i="42" s="1"/>
  <c r="CD111" i="42"/>
  <c r="CE40" i="42"/>
  <c r="CD42" i="42"/>
  <c r="CD41" i="42"/>
  <c r="CD45" i="42" s="1"/>
  <c r="BW91" i="42"/>
  <c r="BW94" i="42" s="1"/>
  <c r="CD87" i="42"/>
  <c r="BX91" i="42" s="1"/>
  <c r="BX94" i="42" s="1"/>
  <c r="CB44" i="42"/>
  <c r="CB19" i="42" s="1"/>
  <c r="BV43" i="42"/>
  <c r="BV18" i="42" s="1"/>
  <c r="CA19" i="42"/>
  <c r="CD117" i="42"/>
  <c r="CF88" i="42"/>
  <c r="CE90" i="42"/>
  <c r="CE89" i="42"/>
  <c r="CC116" i="42"/>
  <c r="BW115" i="42"/>
  <c r="BW118" i="42" s="1"/>
  <c r="BU70" i="42"/>
  <c r="BV70" i="42" s="1"/>
  <c r="CD137" i="42"/>
  <c r="CD138" i="42"/>
  <c r="CE136" i="42"/>
  <c r="CF15" i="42"/>
  <c r="CE17" i="42"/>
  <c r="CE16" i="42"/>
  <c r="BT21" i="42"/>
  <c r="BU46" i="42"/>
  <c r="CE64" i="42"/>
  <c r="CD66" i="42"/>
  <c r="CD65" i="42"/>
  <c r="CD116" i="42"/>
  <c r="BX115" i="42"/>
  <c r="CC69" i="42"/>
  <c r="CC141" i="42"/>
  <c r="CB20" i="42"/>
  <c r="CE114" i="42"/>
  <c r="CE113" i="42"/>
  <c r="CF112" i="42"/>
  <c r="CC63" i="42"/>
  <c r="CD93" i="42"/>
  <c r="CD135" i="42" l="1"/>
  <c r="BX139" i="42" s="1"/>
  <c r="BX142" i="42" s="1"/>
  <c r="BW43" i="42"/>
  <c r="BW139" i="42"/>
  <c r="BW142" i="42" s="1"/>
  <c r="CD92" i="42"/>
  <c r="CE111" i="42"/>
  <c r="CE116" i="42" s="1"/>
  <c r="CE87" i="42"/>
  <c r="BY91" i="42" s="1"/>
  <c r="BY94" i="42" s="1"/>
  <c r="CD39" i="42"/>
  <c r="CD63" i="42"/>
  <c r="CD68" i="42" s="1"/>
  <c r="CE42" i="42"/>
  <c r="CE41" i="42"/>
  <c r="CE45" i="42" s="1"/>
  <c r="CF40" i="42"/>
  <c r="CG112" i="42"/>
  <c r="CF114" i="42"/>
  <c r="CF113" i="42"/>
  <c r="CE117" i="42"/>
  <c r="CF64" i="42"/>
  <c r="CE66" i="42"/>
  <c r="CE65" i="42"/>
  <c r="CD141" i="42"/>
  <c r="CE93" i="42"/>
  <c r="CC20" i="42"/>
  <c r="CE92" i="42"/>
  <c r="CC68" i="42"/>
  <c r="CC19" i="42" s="1"/>
  <c r="BW67" i="42"/>
  <c r="BW18" i="42" s="1"/>
  <c r="BU21" i="42"/>
  <c r="BV46" i="42"/>
  <c r="CG15" i="42"/>
  <c r="CF17" i="42"/>
  <c r="CF16" i="42"/>
  <c r="CD69" i="42"/>
  <c r="CD20" i="42" s="1"/>
  <c r="CE138" i="42"/>
  <c r="CE137" i="42"/>
  <c r="CF136" i="42"/>
  <c r="BX118" i="42"/>
  <c r="CG88" i="42"/>
  <c r="CF90" i="42"/>
  <c r="CF89" i="42"/>
  <c r="BY115" i="42" l="1"/>
  <c r="BX67" i="42"/>
  <c r="CD140" i="42"/>
  <c r="CE135" i="42"/>
  <c r="CE140" i="42" s="1"/>
  <c r="CG40" i="42"/>
  <c r="CF42" i="42"/>
  <c r="CF41" i="42"/>
  <c r="CF45" i="42" s="1"/>
  <c r="CE39" i="42"/>
  <c r="CD44" i="42"/>
  <c r="BX43" i="42"/>
  <c r="CF111" i="42"/>
  <c r="CF116" i="42" s="1"/>
  <c r="BY118" i="42"/>
  <c r="CE141" i="42"/>
  <c r="CF66" i="42"/>
  <c r="CF65" i="42"/>
  <c r="CG64" i="42"/>
  <c r="CF93" i="42"/>
  <c r="BW70" i="42"/>
  <c r="BX70" i="42" s="1"/>
  <c r="CD19" i="42"/>
  <c r="CH112" i="42"/>
  <c r="CG114" i="42"/>
  <c r="CG113" i="42"/>
  <c r="BY139" i="42"/>
  <c r="BY142" i="42" s="1"/>
  <c r="CF87" i="42"/>
  <c r="CG17" i="42"/>
  <c r="CG16" i="42"/>
  <c r="CH15" i="42"/>
  <c r="CE69" i="42"/>
  <c r="CE20" i="42" s="1"/>
  <c r="CG90" i="42"/>
  <c r="CG89" i="42"/>
  <c r="CH88" i="42"/>
  <c r="CF138" i="42"/>
  <c r="CF135" i="42" s="1"/>
  <c r="CG136" i="42"/>
  <c r="CF137" i="42"/>
  <c r="BV21" i="42"/>
  <c r="BW46" i="42"/>
  <c r="BX18" i="42"/>
  <c r="CE63" i="42"/>
  <c r="CF117" i="42"/>
  <c r="CF39" i="42" l="1"/>
  <c r="BZ43" i="42" s="1"/>
  <c r="CG111" i="42"/>
  <c r="BZ115" i="42"/>
  <c r="BZ118" i="42" s="1"/>
  <c r="BY43" i="42"/>
  <c r="CE44" i="42"/>
  <c r="CF44" i="42"/>
  <c r="CH40" i="42"/>
  <c r="CG42" i="42"/>
  <c r="CG41" i="42"/>
  <c r="CG45" i="42" s="1"/>
  <c r="CG138" i="42"/>
  <c r="CH136" i="42"/>
  <c r="CG137" i="42"/>
  <c r="CG87" i="42"/>
  <c r="CI112" i="42"/>
  <c r="CH114" i="42"/>
  <c r="CH113" i="42"/>
  <c r="CF140" i="42"/>
  <c r="BZ139" i="42"/>
  <c r="BZ142" i="42" s="1"/>
  <c r="CG65" i="42"/>
  <c r="CH64" i="42"/>
  <c r="CG66" i="42"/>
  <c r="CE68" i="42"/>
  <c r="BY67" i="42"/>
  <c r="BY18" i="42" s="1"/>
  <c r="CI88" i="42"/>
  <c r="CH89" i="42"/>
  <c r="CH90" i="42"/>
  <c r="CI15" i="42"/>
  <c r="CH17" i="42"/>
  <c r="CH16" i="42"/>
  <c r="CF92" i="42"/>
  <c r="BZ91" i="42"/>
  <c r="BZ94" i="42" s="1"/>
  <c r="CG117" i="42"/>
  <c r="CF69" i="42"/>
  <c r="BW21" i="42"/>
  <c r="BX46" i="42"/>
  <c r="CF141" i="42"/>
  <c r="CG93" i="42"/>
  <c r="CG116" i="42"/>
  <c r="CA115" i="42"/>
  <c r="CA118" i="42" s="1"/>
  <c r="CF63" i="42"/>
  <c r="CE19" i="42" l="1"/>
  <c r="CH87" i="42"/>
  <c r="CG39" i="42"/>
  <c r="CI40" i="42"/>
  <c r="CH42" i="42"/>
  <c r="CH41" i="42"/>
  <c r="CH45" i="42" s="1"/>
  <c r="BY70" i="42"/>
  <c r="CF68" i="42"/>
  <c r="CF19" i="42" s="1"/>
  <c r="BZ67" i="42"/>
  <c r="BZ18" i="42" s="1"/>
  <c r="BX21" i="42"/>
  <c r="BY46" i="42"/>
  <c r="CJ88" i="42"/>
  <c r="CI90" i="42"/>
  <c r="CI87" i="42" s="1"/>
  <c r="CI89" i="42"/>
  <c r="CI64" i="42"/>
  <c r="CH65" i="42"/>
  <c r="CH66" i="42"/>
  <c r="CH117" i="42"/>
  <c r="CG92" i="42"/>
  <c r="CA91" i="42"/>
  <c r="CA94" i="42" s="1"/>
  <c r="CJ15" i="42"/>
  <c r="CI17" i="42"/>
  <c r="CI16" i="42"/>
  <c r="CG69" i="42"/>
  <c r="CH111" i="42"/>
  <c r="CG141" i="42"/>
  <c r="CI114" i="42"/>
  <c r="CI111" i="42" s="1"/>
  <c r="CI113" i="42"/>
  <c r="CJ112" i="42"/>
  <c r="CH138" i="42"/>
  <c r="CH137" i="42"/>
  <c r="CI136" i="42"/>
  <c r="CH92" i="42"/>
  <c r="CB91" i="42"/>
  <c r="CF20" i="42"/>
  <c r="CH93" i="42"/>
  <c r="CG63" i="42"/>
  <c r="CG135" i="42"/>
  <c r="CH39" i="42" l="1"/>
  <c r="CJ40" i="42"/>
  <c r="CI42" i="42"/>
  <c r="CI41" i="42"/>
  <c r="CI45" i="42" s="1"/>
  <c r="CA43" i="42"/>
  <c r="CG44" i="42"/>
  <c r="CG20" i="42"/>
  <c r="BZ70" i="42"/>
  <c r="CB94" i="42"/>
  <c r="CH135" i="42"/>
  <c r="CK15" i="42"/>
  <c r="CJ17" i="42"/>
  <c r="CJ16" i="42"/>
  <c r="CH69" i="42"/>
  <c r="CI92" i="42"/>
  <c r="CC91" i="42"/>
  <c r="CG140" i="42"/>
  <c r="CA139" i="42"/>
  <c r="CA142" i="42" s="1"/>
  <c r="CK112" i="42"/>
  <c r="CJ114" i="42"/>
  <c r="CJ113" i="42"/>
  <c r="CJ64" i="42"/>
  <c r="CI66" i="42"/>
  <c r="CI65" i="42"/>
  <c r="CK88" i="42"/>
  <c r="CJ90" i="42"/>
  <c r="CJ89" i="42"/>
  <c r="BY21" i="42"/>
  <c r="BZ46" i="42"/>
  <c r="CG68" i="42"/>
  <c r="CA67" i="42"/>
  <c r="CA70" i="42" s="1"/>
  <c r="CJ136" i="42"/>
  <c r="CI138" i="42"/>
  <c r="CI137" i="42"/>
  <c r="CI117" i="42"/>
  <c r="CH141" i="42"/>
  <c r="CI116" i="42"/>
  <c r="CC115" i="42"/>
  <c r="CH116" i="42"/>
  <c r="CB115" i="42"/>
  <c r="CB118" i="42" s="1"/>
  <c r="CC118" i="42" s="1"/>
  <c r="CH63" i="42"/>
  <c r="CI93" i="42"/>
  <c r="CI63" i="42" l="1"/>
  <c r="CC67" i="42" s="1"/>
  <c r="CI39" i="42"/>
  <c r="CJ111" i="42"/>
  <c r="CC94" i="42"/>
  <c r="CK40" i="42"/>
  <c r="CJ42" i="42"/>
  <c r="CJ41" i="42"/>
  <c r="CJ45" i="42" s="1"/>
  <c r="CB43" i="42"/>
  <c r="CH44" i="42"/>
  <c r="CJ138" i="42"/>
  <c r="CK136" i="42"/>
  <c r="CJ137" i="42"/>
  <c r="BZ21" i="42"/>
  <c r="CA46" i="42"/>
  <c r="CK90" i="42"/>
  <c r="CK89" i="42"/>
  <c r="CL88" i="42"/>
  <c r="CA18" i="42"/>
  <c r="CI69" i="42"/>
  <c r="CJ117" i="42"/>
  <c r="CH20" i="42"/>
  <c r="CK17" i="42"/>
  <c r="CK16" i="42"/>
  <c r="CL15" i="42"/>
  <c r="CI68" i="42"/>
  <c r="CH140" i="42"/>
  <c r="CB139" i="42"/>
  <c r="CB142" i="42" s="1"/>
  <c r="CH68" i="42"/>
  <c r="CB67" i="42"/>
  <c r="CI141" i="42"/>
  <c r="CJ93" i="42"/>
  <c r="CJ116" i="42"/>
  <c r="CD115" i="42"/>
  <c r="CD118" i="42" s="1"/>
  <c r="CI135" i="42"/>
  <c r="CG19" i="42"/>
  <c r="CJ87" i="42"/>
  <c r="CJ66" i="42"/>
  <c r="CJ65" i="42"/>
  <c r="CK64" i="42"/>
  <c r="CL112" i="42"/>
  <c r="CK114" i="42"/>
  <c r="CK113" i="42"/>
  <c r="CB18" i="42" l="1"/>
  <c r="CJ39" i="42"/>
  <c r="CK42" i="42"/>
  <c r="CL40" i="42"/>
  <c r="CK41" i="42"/>
  <c r="CK45" i="42" s="1"/>
  <c r="CI44" i="42"/>
  <c r="CC43" i="42"/>
  <c r="CH19" i="42"/>
  <c r="CI140" i="42"/>
  <c r="CI19" i="42" s="1"/>
  <c r="CC139" i="42"/>
  <c r="CC142" i="42" s="1"/>
  <c r="CM15" i="42"/>
  <c r="CL17" i="42"/>
  <c r="CL16" i="42"/>
  <c r="CK93" i="42"/>
  <c r="CJ141" i="42"/>
  <c r="CK111" i="42"/>
  <c r="CJ63" i="42"/>
  <c r="CK87" i="42"/>
  <c r="CK138" i="42"/>
  <c r="CL136" i="42"/>
  <c r="CK137" i="42"/>
  <c r="CJ69" i="42"/>
  <c r="CJ20" i="42" s="1"/>
  <c r="CM112" i="42"/>
  <c r="CL114" i="42"/>
  <c r="CL113" i="42"/>
  <c r="CB70" i="42"/>
  <c r="CC70" i="42" s="1"/>
  <c r="CA21" i="42"/>
  <c r="CB46" i="42"/>
  <c r="CJ135" i="42"/>
  <c r="CK117" i="42"/>
  <c r="CJ92" i="42"/>
  <c r="CD91" i="42"/>
  <c r="CD94" i="42" s="1"/>
  <c r="CL64" i="42"/>
  <c r="CK66" i="42"/>
  <c r="CK65" i="42"/>
  <c r="CI20" i="42"/>
  <c r="CM88" i="42"/>
  <c r="CL90" i="42"/>
  <c r="CL89" i="42"/>
  <c r="CC18" i="42" l="1"/>
  <c r="CM40" i="42"/>
  <c r="CL42" i="42"/>
  <c r="CL39" i="42" s="1"/>
  <c r="CL41" i="42"/>
  <c r="CL45" i="42" s="1"/>
  <c r="CK39" i="42"/>
  <c r="CJ44" i="42"/>
  <c r="CD43" i="42"/>
  <c r="CM114" i="42"/>
  <c r="CM113" i="42"/>
  <c r="CN112" i="42"/>
  <c r="CL87" i="42"/>
  <c r="CK69" i="42"/>
  <c r="CJ140" i="42"/>
  <c r="CD139" i="42"/>
  <c r="CD142" i="42" s="1"/>
  <c r="CK135" i="42"/>
  <c r="CN88" i="42"/>
  <c r="CM90" i="42"/>
  <c r="CM89" i="42"/>
  <c r="CK63" i="42"/>
  <c r="CB21" i="42"/>
  <c r="CC46" i="42"/>
  <c r="CL117" i="42"/>
  <c r="CK92" i="42"/>
  <c r="CE91" i="42"/>
  <c r="CE94" i="42" s="1"/>
  <c r="CJ68" i="42"/>
  <c r="CD67" i="42"/>
  <c r="CN15" i="42"/>
  <c r="CM17" i="42"/>
  <c r="CM16" i="42"/>
  <c r="CL93" i="42"/>
  <c r="CL137" i="42"/>
  <c r="CL138" i="42"/>
  <c r="CL135" i="42" s="1"/>
  <c r="CM136" i="42"/>
  <c r="CM64" i="42"/>
  <c r="CL66" i="42"/>
  <c r="CL65" i="42"/>
  <c r="CL111" i="42"/>
  <c r="CK141" i="42"/>
  <c r="CK116" i="42"/>
  <c r="CE115" i="42"/>
  <c r="CE118" i="42" s="1"/>
  <c r="CD18" i="42" l="1"/>
  <c r="CE43" i="42"/>
  <c r="CK44" i="42"/>
  <c r="CM87" i="42"/>
  <c r="CL44" i="42"/>
  <c r="CF43" i="42"/>
  <c r="CJ19" i="42"/>
  <c r="CN40" i="42"/>
  <c r="CM42" i="42"/>
  <c r="CM41" i="42"/>
  <c r="CM45" i="42" s="1"/>
  <c r="CO88" i="42"/>
  <c r="CN90" i="42"/>
  <c r="CN89" i="42"/>
  <c r="CK20" i="42"/>
  <c r="CM117" i="42"/>
  <c r="CL63" i="42"/>
  <c r="CC21" i="42"/>
  <c r="CD46" i="42"/>
  <c r="CM111" i="42"/>
  <c r="CL69" i="42"/>
  <c r="CL141" i="42"/>
  <c r="CO15" i="42"/>
  <c r="CN17" i="42"/>
  <c r="CN16" i="42"/>
  <c r="CL116" i="42"/>
  <c r="CF115" i="42"/>
  <c r="CF118" i="42" s="1"/>
  <c r="CN64" i="42"/>
  <c r="CM66" i="42"/>
  <c r="CM65" i="42"/>
  <c r="CM138" i="42"/>
  <c r="CM137" i="42"/>
  <c r="CN136" i="42"/>
  <c r="CM93" i="42"/>
  <c r="CD70" i="42"/>
  <c r="CL92" i="42"/>
  <c r="CF91" i="42"/>
  <c r="CF94" i="42" s="1"/>
  <c r="CL140" i="42"/>
  <c r="CF139" i="42"/>
  <c r="CK68" i="42"/>
  <c r="CE67" i="42"/>
  <c r="CM92" i="42"/>
  <c r="CG91" i="42"/>
  <c r="CK140" i="42"/>
  <c r="CE139" i="42"/>
  <c r="CE142" i="42" s="1"/>
  <c r="CO112" i="42"/>
  <c r="CN114" i="42"/>
  <c r="CN113" i="42"/>
  <c r="CN87" i="42" l="1"/>
  <c r="CN92" i="42" s="1"/>
  <c r="CM39" i="42"/>
  <c r="CO40" i="42"/>
  <c r="CN42" i="42"/>
  <c r="CN41" i="42"/>
  <c r="CN45" i="42" s="1"/>
  <c r="CN111" i="42"/>
  <c r="CN116" i="42" s="1"/>
  <c r="CF142" i="42"/>
  <c r="CL20" i="42"/>
  <c r="CE18" i="42"/>
  <c r="CG94" i="42"/>
  <c r="CE70" i="42"/>
  <c r="CM135" i="42"/>
  <c r="CN93" i="42"/>
  <c r="CP112" i="42"/>
  <c r="CO114" i="42"/>
  <c r="CO113" i="42"/>
  <c r="CM116" i="42"/>
  <c r="CG115" i="42"/>
  <c r="CG118" i="42" s="1"/>
  <c r="CH91" i="42"/>
  <c r="CM69" i="42"/>
  <c r="CO17" i="42"/>
  <c r="CO16" i="42"/>
  <c r="CP15" i="42"/>
  <c r="CK19" i="42"/>
  <c r="CN138" i="42"/>
  <c r="CO136" i="42"/>
  <c r="CN137" i="42"/>
  <c r="CM63" i="42"/>
  <c r="CD21" i="42"/>
  <c r="CE46" i="42"/>
  <c r="CO90" i="42"/>
  <c r="CO89" i="42"/>
  <c r="CP88" i="42"/>
  <c r="CN117" i="42"/>
  <c r="CM141" i="42"/>
  <c r="CN66" i="42"/>
  <c r="CN65" i="42"/>
  <c r="CO64" i="42"/>
  <c r="CL68" i="42"/>
  <c r="CL19" i="42" s="1"/>
  <c r="CF67" i="42"/>
  <c r="CF18" i="42" s="1"/>
  <c r="CH115" i="42" l="1"/>
  <c r="CH118" i="42" s="1"/>
  <c r="CN39" i="42"/>
  <c r="CN63" i="42"/>
  <c r="CN68" i="42" s="1"/>
  <c r="CO42" i="42"/>
  <c r="CP40" i="42"/>
  <c r="CO41" i="42"/>
  <c r="CO45" i="42" s="1"/>
  <c r="CM44" i="42"/>
  <c r="CG43" i="42"/>
  <c r="CH94" i="42"/>
  <c r="CM20" i="42"/>
  <c r="CO117" i="42"/>
  <c r="CM140" i="42"/>
  <c r="CG139" i="42"/>
  <c r="CG142" i="42" s="1"/>
  <c r="CO65" i="42"/>
  <c r="CP64" i="42"/>
  <c r="CO66" i="42"/>
  <c r="CO63" i="42" s="1"/>
  <c r="CO93" i="42"/>
  <c r="CN69" i="42"/>
  <c r="CO87" i="42"/>
  <c r="CE21" i="42"/>
  <c r="CF46" i="42"/>
  <c r="CN141" i="42"/>
  <c r="CQ15" i="42"/>
  <c r="CP17" i="42"/>
  <c r="CP16" i="42"/>
  <c r="CO111" i="42"/>
  <c r="CH67" i="42"/>
  <c r="CO138" i="42"/>
  <c r="CP136" i="42"/>
  <c r="CO137" i="42"/>
  <c r="CF70" i="42"/>
  <c r="CQ112" i="42"/>
  <c r="CP114" i="42"/>
  <c r="CP113" i="42"/>
  <c r="CM68" i="42"/>
  <c r="CM19" i="42" s="1"/>
  <c r="CG67" i="42"/>
  <c r="CQ88" i="42"/>
  <c r="CP90" i="42"/>
  <c r="CP89" i="42"/>
  <c r="CN135" i="42"/>
  <c r="CG70" i="42" l="1"/>
  <c r="CO135" i="42"/>
  <c r="CQ40" i="42"/>
  <c r="CP42" i="42"/>
  <c r="CP41" i="42"/>
  <c r="CP45" i="42" s="1"/>
  <c r="CO39" i="42"/>
  <c r="CN44" i="42"/>
  <c r="CH43" i="42"/>
  <c r="CG18" i="42"/>
  <c r="CN20" i="42"/>
  <c r="CP93" i="42"/>
  <c r="CP87" i="42"/>
  <c r="CP111" i="42"/>
  <c r="CO141" i="42"/>
  <c r="CR15" i="42"/>
  <c r="CQ17" i="42"/>
  <c r="CQ16" i="42"/>
  <c r="CO69" i="42"/>
  <c r="CQ114" i="42"/>
  <c r="CQ113" i="42"/>
  <c r="CR112" i="42"/>
  <c r="CP138" i="42"/>
  <c r="CP135" i="42" s="1"/>
  <c r="CP137" i="42"/>
  <c r="CQ136" i="42"/>
  <c r="CO116" i="42"/>
  <c r="CI115" i="42"/>
  <c r="CI118" i="42" s="1"/>
  <c r="CO92" i="42"/>
  <c r="CI91" i="42"/>
  <c r="CI94" i="42" s="1"/>
  <c r="CO140" i="42"/>
  <c r="CI139" i="42"/>
  <c r="CO68" i="42"/>
  <c r="CI67" i="42"/>
  <c r="CN140" i="42"/>
  <c r="CH139" i="42"/>
  <c r="CH142" i="42" s="1"/>
  <c r="CR88" i="42"/>
  <c r="CQ90" i="42"/>
  <c r="CQ89" i="42"/>
  <c r="CP117" i="42"/>
  <c r="CH70" i="42"/>
  <c r="CF21" i="42"/>
  <c r="CG46" i="42"/>
  <c r="CQ64" i="42"/>
  <c r="CP65" i="42"/>
  <c r="CP66" i="42"/>
  <c r="CI70" i="42" l="1"/>
  <c r="CP39" i="42"/>
  <c r="CP44" i="42" s="1"/>
  <c r="CO20" i="42"/>
  <c r="CQ111" i="42"/>
  <c r="CO44" i="42"/>
  <c r="CO19" i="42" s="1"/>
  <c r="CI43" i="42"/>
  <c r="CQ87" i="42"/>
  <c r="CJ43" i="42"/>
  <c r="CN19" i="42"/>
  <c r="CQ42" i="42"/>
  <c r="CQ41" i="42"/>
  <c r="CQ45" i="42" s="1"/>
  <c r="CR40" i="42"/>
  <c r="CI142" i="42"/>
  <c r="CR64" i="42"/>
  <c r="CQ66" i="42"/>
  <c r="CQ63" i="42" s="1"/>
  <c r="CQ65" i="42"/>
  <c r="CQ93" i="42"/>
  <c r="CP141" i="42"/>
  <c r="CQ116" i="42"/>
  <c r="CK115" i="42"/>
  <c r="CQ92" i="42"/>
  <c r="CK91" i="42"/>
  <c r="CP116" i="42"/>
  <c r="CJ115" i="42"/>
  <c r="CJ118" i="42" s="1"/>
  <c r="CK118" i="42" s="1"/>
  <c r="CP92" i="42"/>
  <c r="CJ91" i="42"/>
  <c r="CJ94" i="42" s="1"/>
  <c r="CG21" i="42"/>
  <c r="CH46" i="42"/>
  <c r="CP140" i="42"/>
  <c r="CJ139" i="42"/>
  <c r="CJ142" i="42" s="1"/>
  <c r="CP63" i="42"/>
  <c r="CS88" i="42"/>
  <c r="CR90" i="42"/>
  <c r="CR89" i="42"/>
  <c r="CI18" i="42"/>
  <c r="CH18" i="42"/>
  <c r="CS112" i="42"/>
  <c r="CR113" i="42"/>
  <c r="CR114" i="42"/>
  <c r="CS15" i="42"/>
  <c r="CR17" i="42"/>
  <c r="CR16" i="42"/>
  <c r="CP69" i="42"/>
  <c r="CP20" i="42" s="1"/>
  <c r="CR136" i="42"/>
  <c r="CQ138" i="42"/>
  <c r="CQ137" i="42"/>
  <c r="CQ117" i="42"/>
  <c r="CR41" i="42" l="1"/>
  <c r="CR45" i="42" s="1"/>
  <c r="CS40" i="42"/>
  <c r="CR42" i="42"/>
  <c r="CR39" i="42" s="1"/>
  <c r="CQ39" i="42"/>
  <c r="CQ135" i="42"/>
  <c r="CQ140" i="42" s="1"/>
  <c r="CR87" i="42"/>
  <c r="CR92" i="42" s="1"/>
  <c r="CK94" i="42"/>
  <c r="CR138" i="42"/>
  <c r="CS136" i="42"/>
  <c r="CR137" i="42"/>
  <c r="CR111" i="42"/>
  <c r="CS90" i="42"/>
  <c r="CS89" i="42"/>
  <c r="CT88" i="42"/>
  <c r="CR66" i="42"/>
  <c r="CR65" i="42"/>
  <c r="CS64" i="42"/>
  <c r="CR117" i="42"/>
  <c r="CP68" i="42"/>
  <c r="CP19" i="42" s="1"/>
  <c r="CJ67" i="42"/>
  <c r="CH21" i="42"/>
  <c r="CI46" i="42"/>
  <c r="CQ141" i="42"/>
  <c r="CT112" i="42"/>
  <c r="CS114" i="42"/>
  <c r="CS113" i="42"/>
  <c r="CR93" i="42"/>
  <c r="CQ69" i="42"/>
  <c r="CS17" i="42"/>
  <c r="CS16" i="42"/>
  <c r="CT15" i="42"/>
  <c r="CQ68" i="42"/>
  <c r="CK67" i="42"/>
  <c r="CL91" i="42" l="1"/>
  <c r="CL94" i="42" s="1"/>
  <c r="CS111" i="42"/>
  <c r="CK43" i="42"/>
  <c r="CQ44" i="42"/>
  <c r="CQ19" i="42" s="1"/>
  <c r="CR44" i="42"/>
  <c r="CL43" i="42"/>
  <c r="CS87" i="42"/>
  <c r="CM91" i="42" s="1"/>
  <c r="CM94" i="42" s="1"/>
  <c r="CQ20" i="42"/>
  <c r="CS42" i="42"/>
  <c r="CS41" i="42"/>
  <c r="CS45" i="42" s="1"/>
  <c r="CT40" i="42"/>
  <c r="CK139" i="42"/>
  <c r="CK142" i="42" s="1"/>
  <c r="CT64" i="42"/>
  <c r="CS66" i="42"/>
  <c r="CS65" i="42"/>
  <c r="CU15" i="42"/>
  <c r="CT17" i="42"/>
  <c r="CT16" i="42"/>
  <c r="CU112" i="42"/>
  <c r="CT114" i="42"/>
  <c r="CT113" i="42"/>
  <c r="CR69" i="42"/>
  <c r="CR141" i="42"/>
  <c r="CJ18" i="42"/>
  <c r="CJ70" i="42"/>
  <c r="CK70" i="42" s="1"/>
  <c r="CR63" i="42"/>
  <c r="CU88" i="42"/>
  <c r="CT90" i="42"/>
  <c r="CT89" i="42"/>
  <c r="CS138" i="42"/>
  <c r="CT136" i="42"/>
  <c r="CS137" i="42"/>
  <c r="CS117" i="42"/>
  <c r="CS93" i="42"/>
  <c r="CR135" i="42"/>
  <c r="CS116" i="42"/>
  <c r="CM115" i="42"/>
  <c r="CI21" i="42"/>
  <c r="CJ46" i="42"/>
  <c r="CR116" i="42"/>
  <c r="CL115" i="42"/>
  <c r="CL118" i="42" s="1"/>
  <c r="CK18" i="42" l="1"/>
  <c r="CU40" i="42"/>
  <c r="CT42" i="42"/>
  <c r="CT41" i="42"/>
  <c r="CT45" i="42" s="1"/>
  <c r="CS39" i="42"/>
  <c r="CT87" i="42"/>
  <c r="CN91" i="42" s="1"/>
  <c r="CN94" i="42" s="1"/>
  <c r="CS92" i="42"/>
  <c r="CT111" i="42"/>
  <c r="CT116" i="42" s="1"/>
  <c r="CS63" i="42"/>
  <c r="CM67" i="42" s="1"/>
  <c r="CJ21" i="42"/>
  <c r="CK46" i="42"/>
  <c r="CR140" i="42"/>
  <c r="CL139" i="42"/>
  <c r="CL142" i="42" s="1"/>
  <c r="CT137" i="42"/>
  <c r="CT138" i="42"/>
  <c r="CU136" i="42"/>
  <c r="CV88" i="42"/>
  <c r="CU90" i="42"/>
  <c r="CU89" i="42"/>
  <c r="CR20" i="42"/>
  <c r="CU114" i="42"/>
  <c r="CU113" i="42"/>
  <c r="CV112" i="42"/>
  <c r="CU64" i="42"/>
  <c r="CT66" i="42"/>
  <c r="CT65" i="42"/>
  <c r="CR68" i="42"/>
  <c r="CL67" i="42"/>
  <c r="CV15" i="42"/>
  <c r="CU17" i="42"/>
  <c r="CU16" i="42"/>
  <c r="CT92" i="42"/>
  <c r="CM118" i="42"/>
  <c r="CS135" i="42"/>
  <c r="CT93" i="42"/>
  <c r="CT117" i="42"/>
  <c r="CS69" i="42"/>
  <c r="CS141" i="42"/>
  <c r="CL70" i="42"/>
  <c r="CS68" i="42"/>
  <c r="CN115" i="42" l="1"/>
  <c r="CS44" i="42"/>
  <c r="CM43" i="42"/>
  <c r="CL18" i="42"/>
  <c r="CU87" i="42"/>
  <c r="CU92" i="42" s="1"/>
  <c r="CT39" i="42"/>
  <c r="CU41" i="42"/>
  <c r="CU45" i="42" s="1"/>
  <c r="CV40" i="42"/>
  <c r="CU42" i="42"/>
  <c r="CN118" i="42"/>
  <c r="CM70" i="42"/>
  <c r="CT63" i="42"/>
  <c r="CU111" i="42"/>
  <c r="CW88" i="42"/>
  <c r="CV90" i="42"/>
  <c r="CV89" i="42"/>
  <c r="CS20" i="42"/>
  <c r="CW15" i="42"/>
  <c r="CV17" i="42"/>
  <c r="CV16" i="42"/>
  <c r="CV64" i="42"/>
  <c r="CU66" i="42"/>
  <c r="CU65" i="42"/>
  <c r="CU138" i="42"/>
  <c r="CU137" i="42"/>
  <c r="CV136" i="42"/>
  <c r="CK21" i="42"/>
  <c r="CL46" i="42"/>
  <c r="CR19" i="42"/>
  <c r="CW112" i="42"/>
  <c r="CV114" i="42"/>
  <c r="CV113" i="42"/>
  <c r="CU93" i="42"/>
  <c r="CT135" i="42"/>
  <c r="CS140" i="42"/>
  <c r="CS19" i="42" s="1"/>
  <c r="CM139" i="42"/>
  <c r="CM142" i="42" s="1"/>
  <c r="CT69" i="42"/>
  <c r="CU117" i="42"/>
  <c r="CO91" i="42"/>
  <c r="CO94" i="42" s="1"/>
  <c r="CT141" i="42"/>
  <c r="CU39" i="42" l="1"/>
  <c r="CU44" i="42" s="1"/>
  <c r="CW40" i="42"/>
  <c r="CV42" i="42"/>
  <c r="CV41" i="42"/>
  <c r="CV45" i="42" s="1"/>
  <c r="CN43" i="42"/>
  <c r="CT44" i="42"/>
  <c r="CV111" i="42"/>
  <c r="CP115" i="42" s="1"/>
  <c r="CT140" i="42"/>
  <c r="CN139" i="42"/>
  <c r="CN142" i="42" s="1"/>
  <c r="CX112" i="42"/>
  <c r="CW114" i="42"/>
  <c r="CW113" i="42"/>
  <c r="CU135" i="42"/>
  <c r="CU116" i="42"/>
  <c r="CO115" i="42"/>
  <c r="CO118" i="42" s="1"/>
  <c r="CT20" i="42"/>
  <c r="CM18" i="42"/>
  <c r="CU69" i="42"/>
  <c r="CV93" i="42"/>
  <c r="CT68" i="42"/>
  <c r="CN67" i="42"/>
  <c r="CV117" i="42"/>
  <c r="CV138" i="42"/>
  <c r="CV135" i="42" s="1"/>
  <c r="CW136" i="42"/>
  <c r="CV137" i="42"/>
  <c r="CU63" i="42"/>
  <c r="CW17" i="42"/>
  <c r="CW16" i="42"/>
  <c r="CX15" i="42"/>
  <c r="CV87" i="42"/>
  <c r="CL21" i="42"/>
  <c r="CM46" i="42"/>
  <c r="CU141" i="42"/>
  <c r="CV66" i="42"/>
  <c r="CV65" i="42"/>
  <c r="CW64" i="42"/>
  <c r="CW90" i="42"/>
  <c r="CW89" i="42"/>
  <c r="CX88" i="42"/>
  <c r="CV116" i="42" l="1"/>
  <c r="CW111" i="42"/>
  <c r="CW116" i="42" s="1"/>
  <c r="CT19" i="42"/>
  <c r="CO43" i="42"/>
  <c r="CW87" i="42"/>
  <c r="CW92" i="42" s="1"/>
  <c r="CV39" i="42"/>
  <c r="CX40" i="42"/>
  <c r="CW41" i="42"/>
  <c r="CW45" i="42" s="1"/>
  <c r="CW42" i="42"/>
  <c r="CN18" i="42"/>
  <c r="CM21" i="42"/>
  <c r="CN46" i="42"/>
  <c r="CU68" i="42"/>
  <c r="CO67" i="42"/>
  <c r="CV63" i="42"/>
  <c r="CY15" i="42"/>
  <c r="CX17" i="42"/>
  <c r="CX16" i="42"/>
  <c r="CV141" i="42"/>
  <c r="CU20" i="42"/>
  <c r="CW117" i="42"/>
  <c r="CW138" i="42"/>
  <c r="CX136" i="42"/>
  <c r="CW137" i="42"/>
  <c r="CQ115" i="42"/>
  <c r="CW93" i="42"/>
  <c r="CW65" i="42"/>
  <c r="CX64" i="42"/>
  <c r="CW66" i="42"/>
  <c r="CV92" i="42"/>
  <c r="CP91" i="42"/>
  <c r="CP94" i="42" s="1"/>
  <c r="CV140" i="42"/>
  <c r="CP139" i="42"/>
  <c r="CN70" i="42"/>
  <c r="CU140" i="42"/>
  <c r="CO139" i="42"/>
  <c r="CO142" i="42" s="1"/>
  <c r="CY112" i="42"/>
  <c r="CX114" i="42"/>
  <c r="CX113" i="42"/>
  <c r="CY88" i="42"/>
  <c r="CX89" i="42"/>
  <c r="CX90" i="42"/>
  <c r="CX87" i="42" s="1"/>
  <c r="CV69" i="42"/>
  <c r="CV20" i="42" s="1"/>
  <c r="CP118" i="42"/>
  <c r="CO70" i="42" l="1"/>
  <c r="CQ91" i="42"/>
  <c r="CQ94" i="42" s="1"/>
  <c r="CW39" i="42"/>
  <c r="CQ43" i="42" s="1"/>
  <c r="CW135" i="42"/>
  <c r="CQ139" i="42" s="1"/>
  <c r="CQ142" i="42" s="1"/>
  <c r="CW44" i="42"/>
  <c r="CX111" i="42"/>
  <c r="CR115" i="42" s="1"/>
  <c r="CX42" i="42"/>
  <c r="CX41" i="42"/>
  <c r="CX45" i="42" s="1"/>
  <c r="CY40" i="42"/>
  <c r="CP43" i="42"/>
  <c r="CV44" i="42"/>
  <c r="CQ118" i="42"/>
  <c r="CP142" i="42"/>
  <c r="CY64" i="42"/>
  <c r="CX65" i="42"/>
  <c r="CX66" i="42"/>
  <c r="CX63" i="42" s="1"/>
  <c r="CX138" i="42"/>
  <c r="CX137" i="42"/>
  <c r="CY136" i="42"/>
  <c r="CU19" i="42"/>
  <c r="CW140" i="42"/>
  <c r="CV68" i="42"/>
  <c r="CP67" i="42"/>
  <c r="CP18" i="42" s="1"/>
  <c r="CX93" i="42"/>
  <c r="CY114" i="42"/>
  <c r="CY113" i="42"/>
  <c r="CZ112" i="42"/>
  <c r="CW69" i="42"/>
  <c r="CZ88" i="42"/>
  <c r="CY90" i="42"/>
  <c r="CY89" i="42"/>
  <c r="CN21" i="42"/>
  <c r="CO46" i="42"/>
  <c r="CX92" i="42"/>
  <c r="CR91" i="42"/>
  <c r="CX117" i="42"/>
  <c r="CW63" i="42"/>
  <c r="CW141" i="42"/>
  <c r="CZ15" i="42"/>
  <c r="CY17" i="42"/>
  <c r="CY16" i="42"/>
  <c r="CO18" i="42"/>
  <c r="CX116" i="42" l="1"/>
  <c r="CV19" i="42"/>
  <c r="CR94" i="42"/>
  <c r="CR118" i="42"/>
  <c r="CZ40" i="42"/>
  <c r="CY42" i="42"/>
  <c r="CY39" i="42" s="1"/>
  <c r="CY41" i="42"/>
  <c r="CY45" i="42" s="1"/>
  <c r="CY87" i="42"/>
  <c r="CY92" i="42" s="1"/>
  <c r="CX135" i="42"/>
  <c r="CX140" i="42" s="1"/>
  <c r="CX39" i="42"/>
  <c r="CY111" i="42"/>
  <c r="CY116" i="42" s="1"/>
  <c r="DA88" i="42"/>
  <c r="CZ90" i="42"/>
  <c r="CZ89" i="42"/>
  <c r="CX141" i="42"/>
  <c r="CX69" i="42"/>
  <c r="CW20" i="42"/>
  <c r="DA112" i="42"/>
  <c r="CZ114" i="42"/>
  <c r="CZ113" i="42"/>
  <c r="CZ64" i="42"/>
  <c r="CY66" i="42"/>
  <c r="CY65" i="42"/>
  <c r="CW68" i="42"/>
  <c r="CW19" i="42" s="1"/>
  <c r="CQ67" i="42"/>
  <c r="CQ18" i="42" s="1"/>
  <c r="DA15" i="42"/>
  <c r="CZ17" i="42"/>
  <c r="CZ16" i="42"/>
  <c r="CO21" i="42"/>
  <c r="CP46" i="42"/>
  <c r="CY93" i="42"/>
  <c r="CY117" i="42"/>
  <c r="CZ136" i="42"/>
  <c r="CY138" i="42"/>
  <c r="CY137" i="42"/>
  <c r="CX68" i="42"/>
  <c r="CR67" i="42"/>
  <c r="CP70" i="42"/>
  <c r="CQ70" i="42" l="1"/>
  <c r="CS91" i="42"/>
  <c r="CS94" i="42" s="1"/>
  <c r="CR70" i="42"/>
  <c r="CR43" i="42"/>
  <c r="CX44" i="42"/>
  <c r="CX19" i="42" s="1"/>
  <c r="CZ111" i="42"/>
  <c r="CT115" i="42" s="1"/>
  <c r="CR139" i="42"/>
  <c r="CR142" i="42" s="1"/>
  <c r="CS43" i="42"/>
  <c r="CY44" i="42"/>
  <c r="CS115" i="42"/>
  <c r="CS118" i="42" s="1"/>
  <c r="DA40" i="42"/>
  <c r="CZ42" i="42"/>
  <c r="CZ41" i="42"/>
  <c r="CZ45" i="42" s="1"/>
  <c r="CY63" i="42"/>
  <c r="CY68" i="42" s="1"/>
  <c r="CZ87" i="42"/>
  <c r="CZ92" i="42" s="1"/>
  <c r="CX20" i="42"/>
  <c r="DA17" i="42"/>
  <c r="DA16" i="42"/>
  <c r="DB15" i="42"/>
  <c r="CP21" i="42"/>
  <c r="CQ46" i="42"/>
  <c r="CZ66" i="42"/>
  <c r="CZ65" i="42"/>
  <c r="DA64" i="42"/>
  <c r="CZ117" i="42"/>
  <c r="DA90" i="42"/>
  <c r="DA89" i="42"/>
  <c r="DB88" i="42"/>
  <c r="CY141" i="42"/>
  <c r="CZ116" i="42"/>
  <c r="CY135" i="42"/>
  <c r="CY69" i="42"/>
  <c r="DB112" i="42"/>
  <c r="DA114" i="42"/>
  <c r="DA113" i="42"/>
  <c r="CZ93" i="42"/>
  <c r="CZ138" i="42"/>
  <c r="DA136" i="42"/>
  <c r="CZ137" i="42"/>
  <c r="CT91" i="42" l="1"/>
  <c r="CT94" i="42" s="1"/>
  <c r="CT118" i="42"/>
  <c r="CZ39" i="42"/>
  <c r="DA42" i="42"/>
  <c r="DB40" i="42"/>
  <c r="DA41" i="42"/>
  <c r="DA45" i="42" s="1"/>
  <c r="CS67" i="42"/>
  <c r="CS70" i="42" s="1"/>
  <c r="CR18" i="42"/>
  <c r="CY20" i="42"/>
  <c r="CZ141" i="42"/>
  <c r="CY140" i="42"/>
  <c r="CY19" i="42" s="1"/>
  <c r="CS139" i="42"/>
  <c r="CS142" i="42" s="1"/>
  <c r="DC88" i="42"/>
  <c r="DB90" i="42"/>
  <c r="DB89" i="42"/>
  <c r="CZ63" i="42"/>
  <c r="DC15" i="42"/>
  <c r="DB17" i="42"/>
  <c r="DB16" i="42"/>
  <c r="DA117" i="42"/>
  <c r="DA93" i="42"/>
  <c r="CQ21" i="42"/>
  <c r="CR46" i="42"/>
  <c r="DA138" i="42"/>
  <c r="DB136" i="42"/>
  <c r="DA137" i="42"/>
  <c r="CZ135" i="42"/>
  <c r="DA111" i="42"/>
  <c r="DA87" i="42"/>
  <c r="DB64" i="42"/>
  <c r="DA66" i="42"/>
  <c r="DA65" i="42"/>
  <c r="DC112" i="42"/>
  <c r="DB114" i="42"/>
  <c r="DB113" i="42"/>
  <c r="CZ69" i="42"/>
  <c r="CZ20" i="42" l="1"/>
  <c r="DA39" i="42"/>
  <c r="DB41" i="42"/>
  <c r="DB45" i="42" s="1"/>
  <c r="DC40" i="42"/>
  <c r="DB42" i="42"/>
  <c r="DB39" i="42" s="1"/>
  <c r="CZ44" i="42"/>
  <c r="CT43" i="42"/>
  <c r="DA135" i="42"/>
  <c r="DA140" i="42" s="1"/>
  <c r="DB87" i="42"/>
  <c r="CV91" i="42" s="1"/>
  <c r="DA69" i="42"/>
  <c r="DA141" i="42"/>
  <c r="DA63" i="42"/>
  <c r="DB137" i="42"/>
  <c r="DB138" i="42"/>
  <c r="DC136" i="42"/>
  <c r="CR21" i="42"/>
  <c r="CS46" i="42"/>
  <c r="DD88" i="42"/>
  <c r="DC90" i="42"/>
  <c r="DC89" i="42"/>
  <c r="DD15" i="42"/>
  <c r="DC17" i="42"/>
  <c r="DC16" i="42"/>
  <c r="CZ68" i="42"/>
  <c r="CT67" i="42"/>
  <c r="DB117" i="42"/>
  <c r="DC64" i="42"/>
  <c r="DB66" i="42"/>
  <c r="DB65" i="42"/>
  <c r="DB111" i="42"/>
  <c r="DA92" i="42"/>
  <c r="CU91" i="42"/>
  <c r="CU94" i="42" s="1"/>
  <c r="CZ140" i="42"/>
  <c r="CT139" i="42"/>
  <c r="CT142" i="42" s="1"/>
  <c r="DB93" i="42"/>
  <c r="CS18" i="42"/>
  <c r="DA116" i="42"/>
  <c r="CU115" i="42"/>
  <c r="CU118" i="42" s="1"/>
  <c r="DC114" i="42"/>
  <c r="DC113" i="42"/>
  <c r="DD112" i="42"/>
  <c r="CV43" i="42" l="1"/>
  <c r="DB44" i="42"/>
  <c r="DC41" i="42"/>
  <c r="DC45" i="42" s="1"/>
  <c r="DC42" i="42"/>
  <c r="DD40" i="42"/>
  <c r="CV94" i="42"/>
  <c r="CU139" i="42"/>
  <c r="CU142" i="42" s="1"/>
  <c r="DB92" i="42"/>
  <c r="CU43" i="42"/>
  <c r="DA44" i="42"/>
  <c r="DB63" i="42"/>
  <c r="DB68" i="42" s="1"/>
  <c r="DE112" i="42"/>
  <c r="DD114" i="42"/>
  <c r="DD113" i="42"/>
  <c r="DD64" i="42"/>
  <c r="DC66" i="42"/>
  <c r="DC65" i="42"/>
  <c r="DE88" i="42"/>
  <c r="DD90" i="42"/>
  <c r="DD89" i="42"/>
  <c r="CS21" i="42"/>
  <c r="CT46" i="42"/>
  <c r="DB141" i="42"/>
  <c r="DA20" i="42"/>
  <c r="DC117" i="42"/>
  <c r="DB116" i="42"/>
  <c r="CV115" i="42"/>
  <c r="CV118" i="42" s="1"/>
  <c r="CT18" i="42"/>
  <c r="DA68" i="42"/>
  <c r="CU67" i="42"/>
  <c r="CU18" i="42" s="1"/>
  <c r="DC111" i="42"/>
  <c r="DB69" i="42"/>
  <c r="DE15" i="42"/>
  <c r="DD17" i="42"/>
  <c r="DD16" i="42"/>
  <c r="DC93" i="42"/>
  <c r="DC138" i="42"/>
  <c r="DC137" i="42"/>
  <c r="DD136" i="42"/>
  <c r="CZ19" i="42"/>
  <c r="DC87" i="42"/>
  <c r="DB135" i="42"/>
  <c r="CT70" i="42"/>
  <c r="DC39" i="42" l="1"/>
  <c r="DC44" i="42" s="1"/>
  <c r="DA19" i="42"/>
  <c r="DC63" i="42"/>
  <c r="DC68" i="42" s="1"/>
  <c r="DE40" i="42"/>
  <c r="DD41" i="42"/>
  <c r="DD45" i="42" s="1"/>
  <c r="DD42" i="42"/>
  <c r="DD39" i="42" s="1"/>
  <c r="CW43" i="42"/>
  <c r="CV67" i="42"/>
  <c r="CV70" i="42" s="1"/>
  <c r="CU70" i="42"/>
  <c r="DE17" i="42"/>
  <c r="DE16" i="42"/>
  <c r="DF15" i="42"/>
  <c r="DB140" i="42"/>
  <c r="DB19" i="42" s="1"/>
  <c r="CV139" i="42"/>
  <c r="CV142" i="42" s="1"/>
  <c r="DD138" i="42"/>
  <c r="DE136" i="42"/>
  <c r="DD137" i="42"/>
  <c r="DC69" i="42"/>
  <c r="DD111" i="42"/>
  <c r="DC116" i="42"/>
  <c r="CW115" i="42"/>
  <c r="CW118" i="42" s="1"/>
  <c r="DD93" i="42"/>
  <c r="DF112" i="42"/>
  <c r="DE114" i="42"/>
  <c r="DE113" i="42"/>
  <c r="DC92" i="42"/>
  <c r="CW91" i="42"/>
  <c r="CW94" i="42" s="1"/>
  <c r="DC135" i="42"/>
  <c r="DB20" i="42"/>
  <c r="DD87" i="42"/>
  <c r="DD66" i="42"/>
  <c r="DD65" i="42"/>
  <c r="DE64" i="42"/>
  <c r="DC141" i="42"/>
  <c r="CT21" i="42"/>
  <c r="CU46" i="42"/>
  <c r="DE90" i="42"/>
  <c r="DE89" i="42"/>
  <c r="DF88" i="42"/>
  <c r="DD117" i="42"/>
  <c r="CW67" i="42" l="1"/>
  <c r="CW70" i="42" s="1"/>
  <c r="DD44" i="42"/>
  <c r="CX43" i="42"/>
  <c r="DD135" i="42"/>
  <c r="DD140" i="42" s="1"/>
  <c r="DE42" i="42"/>
  <c r="DE41" i="42"/>
  <c r="DE45" i="42" s="1"/>
  <c r="DF40" i="42"/>
  <c r="DE87" i="42"/>
  <c r="DE92" i="42" s="1"/>
  <c r="DG88" i="42"/>
  <c r="DF90" i="42"/>
  <c r="DF89" i="42"/>
  <c r="DD69" i="42"/>
  <c r="DE117" i="42"/>
  <c r="DE93" i="42"/>
  <c r="DD63" i="42"/>
  <c r="DE111" i="42"/>
  <c r="CV18" i="42"/>
  <c r="DG15" i="42"/>
  <c r="DF17" i="42"/>
  <c r="DF16" i="42"/>
  <c r="DD92" i="42"/>
  <c r="CX91" i="42"/>
  <c r="CX94" i="42" s="1"/>
  <c r="DG112" i="42"/>
  <c r="DF114" i="42"/>
  <c r="DF113" i="42"/>
  <c r="DD116" i="42"/>
  <c r="CX115" i="42"/>
  <c r="DD141" i="42"/>
  <c r="CU21" i="42"/>
  <c r="CV46" i="42"/>
  <c r="DE65" i="42"/>
  <c r="DF64" i="42"/>
  <c r="DE66" i="42"/>
  <c r="DC20" i="42"/>
  <c r="DE138" i="42"/>
  <c r="DF136" i="42"/>
  <c r="DE137" i="42"/>
  <c r="DC140" i="42"/>
  <c r="DC19" i="42" s="1"/>
  <c r="CW139" i="42"/>
  <c r="CW142" i="42" s="1"/>
  <c r="CX118" i="42"/>
  <c r="DF42" i="42" l="1"/>
  <c r="DG40" i="42"/>
  <c r="DF41" i="42"/>
  <c r="DF45" i="42" s="1"/>
  <c r="DE135" i="42"/>
  <c r="DE140" i="42" s="1"/>
  <c r="CY91" i="42"/>
  <c r="DE63" i="42"/>
  <c r="DE68" i="42" s="1"/>
  <c r="DE39" i="42"/>
  <c r="CX139" i="42"/>
  <c r="CX142" i="42" s="1"/>
  <c r="CW18" i="42"/>
  <c r="DE141" i="42"/>
  <c r="DE69" i="42"/>
  <c r="DF117" i="42"/>
  <c r="DH15" i="42"/>
  <c r="DG17" i="42"/>
  <c r="DG16" i="42"/>
  <c r="DD68" i="42"/>
  <c r="DD19" i="42" s="1"/>
  <c r="CX67" i="42"/>
  <c r="DF138" i="42"/>
  <c r="DF137" i="42"/>
  <c r="DG136" i="42"/>
  <c r="CV21" i="42"/>
  <c r="CW46" i="42"/>
  <c r="DF111" i="42"/>
  <c r="DF93" i="42"/>
  <c r="DG114" i="42"/>
  <c r="DG113" i="42"/>
  <c r="DH112" i="42"/>
  <c r="DE116" i="42"/>
  <c r="CY115" i="42"/>
  <c r="CY118" i="42" s="1"/>
  <c r="DD20" i="42"/>
  <c r="DF87" i="42"/>
  <c r="DG64" i="42"/>
  <c r="DF65" i="42"/>
  <c r="DF66" i="42"/>
  <c r="CY94" i="42"/>
  <c r="DH88" i="42"/>
  <c r="DG90" i="42"/>
  <c r="DG89" i="42"/>
  <c r="CY139" i="42" l="1"/>
  <c r="CY142" i="42" s="1"/>
  <c r="DF135" i="42"/>
  <c r="DE44" i="42"/>
  <c r="DE19" i="42" s="1"/>
  <c r="CY43" i="42"/>
  <c r="CY67" i="42"/>
  <c r="CY18" i="42" s="1"/>
  <c r="DG42" i="42"/>
  <c r="DH40" i="42"/>
  <c r="DG41" i="42"/>
  <c r="DG45" i="42" s="1"/>
  <c r="DF39" i="42"/>
  <c r="DF140" i="42"/>
  <c r="CZ139" i="42"/>
  <c r="CZ142" i="42" s="1"/>
  <c r="DG87" i="42"/>
  <c r="DH64" i="42"/>
  <c r="DG66" i="42"/>
  <c r="DG65" i="42"/>
  <c r="DF92" i="42"/>
  <c r="CZ91" i="42"/>
  <c r="CZ94" i="42" s="1"/>
  <c r="DG111" i="42"/>
  <c r="DF116" i="42"/>
  <c r="CZ115" i="42"/>
  <c r="CZ118" i="42" s="1"/>
  <c r="DG117" i="42"/>
  <c r="CW21" i="42"/>
  <c r="CX46" i="42"/>
  <c r="DI88" i="42"/>
  <c r="DH90" i="42"/>
  <c r="DH89" i="42"/>
  <c r="DH136" i="42"/>
  <c r="DG138" i="42"/>
  <c r="DG137" i="42"/>
  <c r="DG93" i="42"/>
  <c r="DF69" i="42"/>
  <c r="CX18" i="42"/>
  <c r="CX70" i="42"/>
  <c r="CY70" i="42" s="1"/>
  <c r="DF63" i="42"/>
  <c r="DI112" i="42"/>
  <c r="DH113" i="42"/>
  <c r="DH114" i="42"/>
  <c r="DF141" i="42"/>
  <c r="DE20" i="42"/>
  <c r="DI15" i="42"/>
  <c r="DH17" i="42"/>
  <c r="DH16" i="42"/>
  <c r="DF20" i="42" l="1"/>
  <c r="DH111" i="42"/>
  <c r="DF44" i="42"/>
  <c r="CZ43" i="42"/>
  <c r="DI40" i="42"/>
  <c r="DH42" i="42"/>
  <c r="DH41" i="42"/>
  <c r="DH45" i="42" s="1"/>
  <c r="DG39" i="42"/>
  <c r="DH87" i="42"/>
  <c r="DH92" i="42" s="1"/>
  <c r="DI17" i="42"/>
  <c r="DI16" i="42"/>
  <c r="DJ15" i="42"/>
  <c r="DG135" i="42"/>
  <c r="DI90" i="42"/>
  <c r="DI89" i="42"/>
  <c r="DJ88" i="42"/>
  <c r="DG116" i="42"/>
  <c r="DA115" i="42"/>
  <c r="DA118" i="42" s="1"/>
  <c r="DG69" i="42"/>
  <c r="DG92" i="42"/>
  <c r="DA91" i="42"/>
  <c r="DA94" i="42" s="1"/>
  <c r="DF68" i="42"/>
  <c r="DF19" i="42" s="1"/>
  <c r="CZ67" i="42"/>
  <c r="CZ18" i="42" s="1"/>
  <c r="CX21" i="42"/>
  <c r="CY46" i="42"/>
  <c r="DG63" i="42"/>
  <c r="DJ112" i="42"/>
  <c r="DI114" i="42"/>
  <c r="DI113" i="42"/>
  <c r="DG141" i="42"/>
  <c r="DH116" i="42"/>
  <c r="DB115" i="42"/>
  <c r="DH138" i="42"/>
  <c r="DH135" i="42" s="1"/>
  <c r="DI136" i="42"/>
  <c r="DH137" i="42"/>
  <c r="DH117" i="42"/>
  <c r="DH93" i="42"/>
  <c r="DH66" i="42"/>
  <c r="DH65" i="42"/>
  <c r="DI64" i="42"/>
  <c r="DI87" i="42" l="1"/>
  <c r="DB91" i="42"/>
  <c r="DB94" i="42" s="1"/>
  <c r="DH63" i="42"/>
  <c r="DB67" i="42" s="1"/>
  <c r="DG44" i="42"/>
  <c r="DA43" i="42"/>
  <c r="DI111" i="42"/>
  <c r="DC115" i="42" s="1"/>
  <c r="DC118" i="42" s="1"/>
  <c r="DH39" i="42"/>
  <c r="DI41" i="42"/>
  <c r="DI45" i="42" s="1"/>
  <c r="DJ40" i="42"/>
  <c r="DI42" i="42"/>
  <c r="DB118" i="42"/>
  <c r="DJ64" i="42"/>
  <c r="DI66" i="42"/>
  <c r="DI63" i="42" s="1"/>
  <c r="DI65" i="42"/>
  <c r="DH141" i="42"/>
  <c r="DH69" i="42"/>
  <c r="DI138" i="42"/>
  <c r="DJ136" i="42"/>
  <c r="DI137" i="42"/>
  <c r="DK112" i="42"/>
  <c r="DJ114" i="42"/>
  <c r="DJ113" i="42"/>
  <c r="DI93" i="42"/>
  <c r="DK15" i="42"/>
  <c r="DJ17" i="42"/>
  <c r="DJ16" i="42"/>
  <c r="DG68" i="42"/>
  <c r="DA67" i="42"/>
  <c r="DI92" i="42"/>
  <c r="DC91" i="42"/>
  <c r="DH140" i="42"/>
  <c r="DB139" i="42"/>
  <c r="DI117" i="42"/>
  <c r="CY21" i="42"/>
  <c r="CZ46" i="42"/>
  <c r="DG20" i="42"/>
  <c r="DG140" i="42"/>
  <c r="DA139" i="42"/>
  <c r="DA142" i="42" s="1"/>
  <c r="DI116" i="42"/>
  <c r="DK88" i="42"/>
  <c r="DJ90" i="42"/>
  <c r="DJ89" i="42"/>
  <c r="CZ70" i="42"/>
  <c r="DH68" i="42" l="1"/>
  <c r="DJ87" i="42"/>
  <c r="DI39" i="42"/>
  <c r="DC43" i="42" s="1"/>
  <c r="DJ41" i="42"/>
  <c r="DJ45" i="42" s="1"/>
  <c r="DJ42" i="42"/>
  <c r="DK40" i="42"/>
  <c r="DH44" i="42"/>
  <c r="DB43" i="42"/>
  <c r="DB18" i="42" s="1"/>
  <c r="DI135" i="42"/>
  <c r="DI140" i="42" s="1"/>
  <c r="DC94" i="42"/>
  <c r="DA70" i="42"/>
  <c r="DB70" i="42" s="1"/>
  <c r="DB142" i="42"/>
  <c r="DH20" i="42"/>
  <c r="DJ92" i="42"/>
  <c r="DD91" i="42"/>
  <c r="DL88" i="42"/>
  <c r="DK90" i="42"/>
  <c r="DK87" i="42" s="1"/>
  <c r="DK89" i="42"/>
  <c r="CZ21" i="42"/>
  <c r="DA46" i="42"/>
  <c r="DG19" i="42"/>
  <c r="DL15" i="42"/>
  <c r="DK17" i="42"/>
  <c r="DK16" i="42"/>
  <c r="DJ111" i="42"/>
  <c r="DJ137" i="42"/>
  <c r="DJ138" i="42"/>
  <c r="DK136" i="42"/>
  <c r="DI69" i="42"/>
  <c r="DI68" i="42"/>
  <c r="DC67" i="42"/>
  <c r="DH19" i="42"/>
  <c r="DK114" i="42"/>
  <c r="DK113" i="42"/>
  <c r="DL112" i="42"/>
  <c r="DJ93" i="42"/>
  <c r="DK64" i="42"/>
  <c r="DJ66" i="42"/>
  <c r="DJ65" i="42"/>
  <c r="DA18" i="42"/>
  <c r="DJ117" i="42"/>
  <c r="DI141" i="42"/>
  <c r="DJ39" i="42" l="1"/>
  <c r="DI44" i="42"/>
  <c r="DJ63" i="42"/>
  <c r="DJ68" i="42" s="1"/>
  <c r="DC139" i="42"/>
  <c r="DC142" i="42" s="1"/>
  <c r="DK42" i="42"/>
  <c r="DL40" i="42"/>
  <c r="DK41" i="42"/>
  <c r="DK45" i="42" s="1"/>
  <c r="DJ44" i="42"/>
  <c r="DD43" i="42"/>
  <c r="DD94" i="42"/>
  <c r="DC70" i="42"/>
  <c r="DI20" i="42"/>
  <c r="DI19" i="42"/>
  <c r="DJ69" i="42"/>
  <c r="DK111" i="42"/>
  <c r="DJ116" i="42"/>
  <c r="DD115" i="42"/>
  <c r="DD118" i="42" s="1"/>
  <c r="DK93" i="42"/>
  <c r="DK138" i="42"/>
  <c r="DK137" i="42"/>
  <c r="DL136" i="42"/>
  <c r="DA21" i="42"/>
  <c r="DB46" i="42"/>
  <c r="DK92" i="42"/>
  <c r="DE91" i="42"/>
  <c r="DE94" i="42" s="1"/>
  <c r="DL64" i="42"/>
  <c r="DK66" i="42"/>
  <c r="DK65" i="42"/>
  <c r="DM112" i="42"/>
  <c r="DL114" i="42"/>
  <c r="DL113" i="42"/>
  <c r="DJ135" i="42"/>
  <c r="DM88" i="42"/>
  <c r="DL90" i="42"/>
  <c r="DL89" i="42"/>
  <c r="DK117" i="42"/>
  <c r="DJ141" i="42"/>
  <c r="DM15" i="42"/>
  <c r="DL17" i="42"/>
  <c r="DL16" i="42"/>
  <c r="DD67" i="42" l="1"/>
  <c r="DD70" i="42" s="1"/>
  <c r="DC18" i="42"/>
  <c r="DM40" i="42"/>
  <c r="DL42" i="42"/>
  <c r="DL41" i="42"/>
  <c r="DL45" i="42" s="1"/>
  <c r="DK39" i="42"/>
  <c r="DK135" i="42"/>
  <c r="DK140" i="42" s="1"/>
  <c r="DM90" i="42"/>
  <c r="DM89" i="42"/>
  <c r="DN88" i="42"/>
  <c r="DN112" i="42"/>
  <c r="DM114" i="42"/>
  <c r="DM113" i="42"/>
  <c r="DB21" i="42"/>
  <c r="DC46" i="42"/>
  <c r="DJ140" i="42"/>
  <c r="DJ19" i="42" s="1"/>
  <c r="DD139" i="42"/>
  <c r="DD142" i="42" s="1"/>
  <c r="DL117" i="42"/>
  <c r="DK69" i="42"/>
  <c r="DD18" i="42"/>
  <c r="DK116" i="42"/>
  <c r="DE115" i="42"/>
  <c r="DE118" i="42" s="1"/>
  <c r="DL66" i="42"/>
  <c r="DL65" i="42"/>
  <c r="DM64" i="42"/>
  <c r="DL93" i="42"/>
  <c r="DL138" i="42"/>
  <c r="DM136" i="42"/>
  <c r="DL137" i="42"/>
  <c r="DM17" i="42"/>
  <c r="DM16" i="42"/>
  <c r="DN15" i="42"/>
  <c r="DL87" i="42"/>
  <c r="DL111" i="42"/>
  <c r="DK63" i="42"/>
  <c r="DK141" i="42"/>
  <c r="DE139" i="42"/>
  <c r="DJ20" i="42"/>
  <c r="DL39" i="42" l="1"/>
  <c r="DL44" i="42" s="1"/>
  <c r="DK44" i="42"/>
  <c r="DE43" i="42"/>
  <c r="DM41" i="42"/>
  <c r="DM45" i="42" s="1"/>
  <c r="DM42" i="42"/>
  <c r="DM39" i="42" s="1"/>
  <c r="DN40" i="42"/>
  <c r="DL69" i="42"/>
  <c r="DM111" i="42"/>
  <c r="DM87" i="42"/>
  <c r="DK68" i="42"/>
  <c r="DK19" i="42" s="1"/>
  <c r="DE67" i="42"/>
  <c r="DL141" i="42"/>
  <c r="DL63" i="42"/>
  <c r="DC21" i="42"/>
  <c r="DD46" i="42"/>
  <c r="DO112" i="42"/>
  <c r="DN114" i="42"/>
  <c r="DN111" i="42" s="1"/>
  <c r="DN113" i="42"/>
  <c r="DL116" i="42"/>
  <c r="DF115" i="42"/>
  <c r="DF118" i="42" s="1"/>
  <c r="DO15" i="42"/>
  <c r="DN17" i="42"/>
  <c r="DN16" i="42"/>
  <c r="DM138" i="42"/>
  <c r="DN136" i="42"/>
  <c r="DM137" i="42"/>
  <c r="DK20" i="42"/>
  <c r="DE142" i="42"/>
  <c r="DO88" i="42"/>
  <c r="DN89" i="42"/>
  <c r="DN90" i="42"/>
  <c r="DL92" i="42"/>
  <c r="DF91" i="42"/>
  <c r="DF94" i="42" s="1"/>
  <c r="DL135" i="42"/>
  <c r="DM65" i="42"/>
  <c r="DN64" i="42"/>
  <c r="DM66" i="42"/>
  <c r="DM117" i="42"/>
  <c r="DM93" i="42"/>
  <c r="DF43" i="42" l="1"/>
  <c r="DN87" i="42"/>
  <c r="DN92" i="42" s="1"/>
  <c r="DO40" i="42"/>
  <c r="DN42" i="42"/>
  <c r="DN41" i="42"/>
  <c r="DN45" i="42" s="1"/>
  <c r="DM44" i="42"/>
  <c r="DG43" i="42"/>
  <c r="DM69" i="42"/>
  <c r="DH91" i="42"/>
  <c r="DN138" i="42"/>
  <c r="DN137" i="42"/>
  <c r="DO136" i="42"/>
  <c r="DP15" i="42"/>
  <c r="DO17" i="42"/>
  <c r="DO16" i="42"/>
  <c r="DD21" i="42"/>
  <c r="DE46" i="42"/>
  <c r="DL68" i="42"/>
  <c r="DF67" i="42"/>
  <c r="DL140" i="42"/>
  <c r="DF139" i="42"/>
  <c r="DF142" i="42" s="1"/>
  <c r="DM63" i="42"/>
  <c r="DN93" i="42"/>
  <c r="DM135" i="42"/>
  <c r="DN117" i="42"/>
  <c r="DL20" i="42"/>
  <c r="DO64" i="42"/>
  <c r="DN65" i="42"/>
  <c r="DN66" i="42"/>
  <c r="DP88" i="42"/>
  <c r="DO90" i="42"/>
  <c r="DO89" i="42"/>
  <c r="DN116" i="42"/>
  <c r="DH115" i="42"/>
  <c r="DM92" i="42"/>
  <c r="DG91" i="42"/>
  <c r="DG94" i="42" s="1"/>
  <c r="DM141" i="42"/>
  <c r="DO114" i="42"/>
  <c r="DO113" i="42"/>
  <c r="DP112" i="42"/>
  <c r="DE18" i="42"/>
  <c r="DE70" i="42"/>
  <c r="DM116" i="42"/>
  <c r="DG115" i="42"/>
  <c r="DG118" i="42" s="1"/>
  <c r="DH118" i="42" s="1"/>
  <c r="DH94" i="42" l="1"/>
  <c r="DN39" i="42"/>
  <c r="DF70" i="42"/>
  <c r="DP40" i="42"/>
  <c r="DO42" i="42"/>
  <c r="DO41" i="42"/>
  <c r="DO45" i="42" s="1"/>
  <c r="DO117" i="42"/>
  <c r="DO111" i="42"/>
  <c r="DN63" i="42"/>
  <c r="DL19" i="42"/>
  <c r="DP136" i="42"/>
  <c r="DO137" i="42"/>
  <c r="DO138" i="42"/>
  <c r="DO93" i="42"/>
  <c r="DN69" i="42"/>
  <c r="DN141" i="42"/>
  <c r="DQ112" i="42"/>
  <c r="DP114" i="42"/>
  <c r="DP111" i="42" s="1"/>
  <c r="DP113" i="42"/>
  <c r="DO87" i="42"/>
  <c r="DP64" i="42"/>
  <c r="DO66" i="42"/>
  <c r="DO65" i="42"/>
  <c r="DE21" i="42"/>
  <c r="DF46" i="42"/>
  <c r="DN135" i="42"/>
  <c r="DM20" i="42"/>
  <c r="DQ88" i="42"/>
  <c r="DP90" i="42"/>
  <c r="DP89" i="42"/>
  <c r="DM140" i="42"/>
  <c r="DG139" i="42"/>
  <c r="DG142" i="42" s="1"/>
  <c r="DM68" i="42"/>
  <c r="DG67" i="42"/>
  <c r="DF18" i="42"/>
  <c r="DQ15" i="42"/>
  <c r="DP17" i="42"/>
  <c r="DP16" i="42"/>
  <c r="DP87" i="42" l="1"/>
  <c r="DP92" i="42" s="1"/>
  <c r="DO39" i="42"/>
  <c r="DN20" i="42"/>
  <c r="DP42" i="42"/>
  <c r="DQ40" i="42"/>
  <c r="DP41" i="42"/>
  <c r="DP45" i="42" s="1"/>
  <c r="DH43" i="42"/>
  <c r="DN44" i="42"/>
  <c r="DO63" i="42"/>
  <c r="DO68" i="42" s="1"/>
  <c r="DG18" i="42"/>
  <c r="DN140" i="42"/>
  <c r="DH139" i="42"/>
  <c r="DH142" i="42" s="1"/>
  <c r="DO69" i="42"/>
  <c r="DP117" i="42"/>
  <c r="DO135" i="42"/>
  <c r="DN68" i="42"/>
  <c r="DH67" i="42"/>
  <c r="DO141" i="42"/>
  <c r="DO116" i="42"/>
  <c r="DI115" i="42"/>
  <c r="DI118" i="42" s="1"/>
  <c r="DQ90" i="42"/>
  <c r="DQ87" i="42" s="1"/>
  <c r="DQ89" i="42"/>
  <c r="DR88" i="42"/>
  <c r="DF21" i="42"/>
  <c r="DG46" i="42"/>
  <c r="DP116" i="42"/>
  <c r="DJ115" i="42"/>
  <c r="DQ17" i="42"/>
  <c r="DQ16" i="42"/>
  <c r="DR15" i="42"/>
  <c r="DM19" i="42"/>
  <c r="DP66" i="42"/>
  <c r="DP65" i="42"/>
  <c r="DQ64" i="42"/>
  <c r="DR112" i="42"/>
  <c r="DQ114" i="42"/>
  <c r="DQ113" i="42"/>
  <c r="DP138" i="42"/>
  <c r="DQ136" i="42"/>
  <c r="DP137" i="42"/>
  <c r="DG70" i="42"/>
  <c r="DP93" i="42"/>
  <c r="DO92" i="42"/>
  <c r="DI91" i="42"/>
  <c r="DI94" i="42" s="1"/>
  <c r="DI67" i="42" l="1"/>
  <c r="DJ91" i="42"/>
  <c r="DH18" i="42"/>
  <c r="DH70" i="42"/>
  <c r="DP135" i="42"/>
  <c r="DP140" i="42" s="1"/>
  <c r="DQ42" i="42"/>
  <c r="DQ41" i="42"/>
  <c r="DQ45" i="42" s="1"/>
  <c r="DR40" i="42"/>
  <c r="DJ94" i="42"/>
  <c r="DP39" i="42"/>
  <c r="DO44" i="42"/>
  <c r="DI43" i="42"/>
  <c r="DI70" i="42"/>
  <c r="DN19" i="42"/>
  <c r="DR64" i="42"/>
  <c r="DQ66" i="42"/>
  <c r="DQ63" i="42" s="1"/>
  <c r="DQ65" i="42"/>
  <c r="DS15" i="42"/>
  <c r="DR17" i="42"/>
  <c r="DR16" i="42"/>
  <c r="DJ118" i="42"/>
  <c r="DO140" i="42"/>
  <c r="DI139" i="42"/>
  <c r="DI142" i="42" s="1"/>
  <c r="DS112" i="42"/>
  <c r="DR114" i="42"/>
  <c r="DR113" i="42"/>
  <c r="DG21" i="42"/>
  <c r="DH46" i="42"/>
  <c r="DP141" i="42"/>
  <c r="DQ117" i="42"/>
  <c r="DP69" i="42"/>
  <c r="DS88" i="42"/>
  <c r="DR90" i="42"/>
  <c r="DR89" i="42"/>
  <c r="DQ138" i="42"/>
  <c r="DR136" i="42"/>
  <c r="DQ137" i="42"/>
  <c r="DQ111" i="42"/>
  <c r="DP63" i="42"/>
  <c r="DQ93" i="42"/>
  <c r="DQ92" i="42"/>
  <c r="DK91" i="42"/>
  <c r="DK94" i="42" s="1"/>
  <c r="DO20" i="42"/>
  <c r="DO19" i="42" l="1"/>
  <c r="DQ39" i="42"/>
  <c r="DQ44" i="42" s="1"/>
  <c r="DI18" i="42"/>
  <c r="DJ139" i="42"/>
  <c r="DJ142" i="42" s="1"/>
  <c r="DP44" i="42"/>
  <c r="DJ43" i="42"/>
  <c r="DQ135" i="42"/>
  <c r="DK139" i="42" s="1"/>
  <c r="DR42" i="42"/>
  <c r="DR39" i="42" s="1"/>
  <c r="DR41" i="42"/>
  <c r="DR45" i="42" s="1"/>
  <c r="DS40" i="42"/>
  <c r="DP68" i="42"/>
  <c r="DJ67" i="42"/>
  <c r="DQ116" i="42"/>
  <c r="DK115" i="42"/>
  <c r="DK118" i="42" s="1"/>
  <c r="DP20" i="42"/>
  <c r="DR111" i="42"/>
  <c r="DQ69" i="42"/>
  <c r="DH21" i="42"/>
  <c r="DI46" i="42"/>
  <c r="DS114" i="42"/>
  <c r="DS113" i="42"/>
  <c r="DT112" i="42"/>
  <c r="DQ68" i="42"/>
  <c r="DK67" i="42"/>
  <c r="DQ141" i="42"/>
  <c r="DR93" i="42"/>
  <c r="DR137" i="42"/>
  <c r="DR138" i="42"/>
  <c r="DR135" i="42" s="1"/>
  <c r="DS136" i="42"/>
  <c r="DR87" i="42"/>
  <c r="DS64" i="42"/>
  <c r="DR66" i="42"/>
  <c r="DR65" i="42"/>
  <c r="DQ140" i="42"/>
  <c r="DT88" i="42"/>
  <c r="DS90" i="42"/>
  <c r="DS89" i="42"/>
  <c r="DR117" i="42"/>
  <c r="DT15" i="42"/>
  <c r="DS17" i="42"/>
  <c r="DS16" i="42"/>
  <c r="DS87" i="42" l="1"/>
  <c r="DS92" i="42" s="1"/>
  <c r="DK43" i="42"/>
  <c r="DK142" i="42"/>
  <c r="DS41" i="42"/>
  <c r="DS45" i="42" s="1"/>
  <c r="DT40" i="42"/>
  <c r="DS42" i="42"/>
  <c r="DS39" i="42" s="1"/>
  <c r="DL43" i="42"/>
  <c r="DR44" i="42"/>
  <c r="DP19" i="42"/>
  <c r="DS111" i="42"/>
  <c r="DS116" i="42" s="1"/>
  <c r="DQ19" i="42"/>
  <c r="DM91" i="42"/>
  <c r="DS138" i="42"/>
  <c r="DS137" i="42"/>
  <c r="DT136" i="42"/>
  <c r="DK18" i="42"/>
  <c r="DS117" i="42"/>
  <c r="DR140" i="42"/>
  <c r="DL139" i="42"/>
  <c r="DL142" i="42" s="1"/>
  <c r="DR69" i="42"/>
  <c r="DR63" i="42"/>
  <c r="DR116" i="42"/>
  <c r="DL115" i="42"/>
  <c r="DL118" i="42" s="1"/>
  <c r="DU15" i="42"/>
  <c r="DT17" i="42"/>
  <c r="DT16" i="42"/>
  <c r="DU88" i="42"/>
  <c r="DT90" i="42"/>
  <c r="DT89" i="42"/>
  <c r="DR92" i="42"/>
  <c r="DL91" i="42"/>
  <c r="DL94" i="42" s="1"/>
  <c r="DM94" i="42" s="1"/>
  <c r="DR141" i="42"/>
  <c r="DI21" i="42"/>
  <c r="DJ46" i="42"/>
  <c r="DS93" i="42"/>
  <c r="DT64" i="42"/>
  <c r="DS66" i="42"/>
  <c r="DS65" i="42"/>
  <c r="DU112" i="42"/>
  <c r="DT114" i="42"/>
  <c r="DT113" i="42"/>
  <c r="DQ20" i="42"/>
  <c r="DJ18" i="42"/>
  <c r="DJ70" i="42"/>
  <c r="DK70" i="42" s="1"/>
  <c r="DM115" i="42" l="1"/>
  <c r="DS135" i="42"/>
  <c r="DS140" i="42" s="1"/>
  <c r="DT87" i="42"/>
  <c r="DT92" i="42" s="1"/>
  <c r="DS44" i="42"/>
  <c r="DM43" i="42"/>
  <c r="DT111" i="42"/>
  <c r="DN115" i="42" s="1"/>
  <c r="DN118" i="42" s="1"/>
  <c r="DM118" i="42"/>
  <c r="DT42" i="42"/>
  <c r="DU40" i="42"/>
  <c r="DT41" i="42"/>
  <c r="DT45" i="42" s="1"/>
  <c r="DT66" i="42"/>
  <c r="DT65" i="42"/>
  <c r="DU64" i="42"/>
  <c r="DV112" i="42"/>
  <c r="DU114" i="42"/>
  <c r="DU113" i="42"/>
  <c r="DU90" i="42"/>
  <c r="DU89" i="42"/>
  <c r="DV88" i="42"/>
  <c r="DR20" i="42"/>
  <c r="DS141" i="42"/>
  <c r="DM139" i="42"/>
  <c r="DM142" i="42" s="1"/>
  <c r="DS69" i="42"/>
  <c r="DT117" i="42"/>
  <c r="DS63" i="42"/>
  <c r="DT93" i="42"/>
  <c r="DJ21" i="42"/>
  <c r="DK46" i="42"/>
  <c r="DU17" i="42"/>
  <c r="DU16" i="42"/>
  <c r="DV15" i="42"/>
  <c r="DR68" i="42"/>
  <c r="DR19" i="42" s="1"/>
  <c r="DL67" i="42"/>
  <c r="DL18" i="42" s="1"/>
  <c r="DT138" i="42"/>
  <c r="DU136" i="42"/>
  <c r="DT137" i="42"/>
  <c r="DT39" i="42" l="1"/>
  <c r="DT116" i="42"/>
  <c r="DU87" i="42"/>
  <c r="DU92" i="42" s="1"/>
  <c r="DU42" i="42"/>
  <c r="DU41" i="42"/>
  <c r="DU45" i="42" s="1"/>
  <c r="DV40" i="42"/>
  <c r="DU111" i="42"/>
  <c r="DO115" i="42" s="1"/>
  <c r="DO118" i="42" s="1"/>
  <c r="DN91" i="42"/>
  <c r="DN94" i="42" s="1"/>
  <c r="DS20" i="42"/>
  <c r="DW15" i="42"/>
  <c r="DV17" i="42"/>
  <c r="DV16" i="42"/>
  <c r="DT141" i="42"/>
  <c r="DT135" i="42"/>
  <c r="DU117" i="42"/>
  <c r="DU65" i="42"/>
  <c r="DV64" i="42"/>
  <c r="DU66" i="42"/>
  <c r="DW88" i="42"/>
  <c r="DV90" i="42"/>
  <c r="DV89" i="42"/>
  <c r="DT69" i="42"/>
  <c r="DS68" i="42"/>
  <c r="DS19" i="42" s="1"/>
  <c r="DM67" i="42"/>
  <c r="DM18" i="42" s="1"/>
  <c r="DU93" i="42"/>
  <c r="DW112" i="42"/>
  <c r="DV114" i="42"/>
  <c r="DV113" i="42"/>
  <c r="DL70" i="42"/>
  <c r="DM70" i="42" s="1"/>
  <c r="DT63" i="42"/>
  <c r="DU138" i="42"/>
  <c r="DV136" i="42"/>
  <c r="DU137" i="42"/>
  <c r="DK21" i="42"/>
  <c r="DL46" i="42"/>
  <c r="DO91" i="42"/>
  <c r="DO94" i="42" s="1"/>
  <c r="DU116" i="42" l="1"/>
  <c r="DW40" i="42"/>
  <c r="DV41" i="42"/>
  <c r="DV45" i="42" s="1"/>
  <c r="DV42" i="42"/>
  <c r="DV39" i="42" s="1"/>
  <c r="DT20" i="42"/>
  <c r="DU39" i="42"/>
  <c r="DT44" i="42"/>
  <c r="DN43" i="42"/>
  <c r="DV117" i="42"/>
  <c r="DX15" i="42"/>
  <c r="DW17" i="42"/>
  <c r="DW16" i="42"/>
  <c r="DV138" i="42"/>
  <c r="DV137" i="42"/>
  <c r="DW136" i="42"/>
  <c r="DL21" i="42"/>
  <c r="DM46" i="42"/>
  <c r="DU135" i="42"/>
  <c r="DV111" i="42"/>
  <c r="DV93" i="42"/>
  <c r="DU63" i="42"/>
  <c r="DT68" i="42"/>
  <c r="DN67" i="42"/>
  <c r="DN70" i="42" s="1"/>
  <c r="DW114" i="42"/>
  <c r="DW113" i="42"/>
  <c r="DX112" i="42"/>
  <c r="DV87" i="42"/>
  <c r="DW64" i="42"/>
  <c r="DV65" i="42"/>
  <c r="DV66" i="42"/>
  <c r="DV63" i="42" s="1"/>
  <c r="DU141" i="42"/>
  <c r="DX88" i="42"/>
  <c r="DW90" i="42"/>
  <c r="DW89" i="42"/>
  <c r="DU69" i="42"/>
  <c r="DT140" i="42"/>
  <c r="DN139" i="42"/>
  <c r="DN142" i="42" s="1"/>
  <c r="DU20" i="42" l="1"/>
  <c r="DU44" i="42"/>
  <c r="DO43" i="42"/>
  <c r="DV135" i="42"/>
  <c r="DP139" i="42" s="1"/>
  <c r="DP43" i="42"/>
  <c r="DV44" i="42"/>
  <c r="DW111" i="42"/>
  <c r="DQ115" i="42" s="1"/>
  <c r="DX40" i="42"/>
  <c r="DW42" i="42"/>
  <c r="DW41" i="42"/>
  <c r="DW45" i="42" s="1"/>
  <c r="DY88" i="42"/>
  <c r="DX90" i="42"/>
  <c r="DX89" i="42"/>
  <c r="DX64" i="42"/>
  <c r="DW66" i="42"/>
  <c r="DW65" i="42"/>
  <c r="DW93" i="42"/>
  <c r="DW87" i="42"/>
  <c r="DV69" i="42"/>
  <c r="DW117" i="42"/>
  <c r="DT19" i="42"/>
  <c r="DU140" i="42"/>
  <c r="DO139" i="42"/>
  <c r="DO142" i="42" s="1"/>
  <c r="DV141" i="42"/>
  <c r="DY15" i="42"/>
  <c r="DX17" i="42"/>
  <c r="DX16" i="42"/>
  <c r="DU68" i="42"/>
  <c r="DO67" i="42"/>
  <c r="DM21" i="42"/>
  <c r="DN46" i="42"/>
  <c r="DV140" i="42"/>
  <c r="DV92" i="42"/>
  <c r="DP91" i="42"/>
  <c r="DP94" i="42" s="1"/>
  <c r="DN18" i="42"/>
  <c r="DV68" i="42"/>
  <c r="DP67" i="42"/>
  <c r="DY112" i="42"/>
  <c r="DX113" i="42"/>
  <c r="DX114" i="42"/>
  <c r="DX111" i="42" s="1"/>
  <c r="DV116" i="42"/>
  <c r="DP115" i="42"/>
  <c r="DP118" i="42" s="1"/>
  <c r="DW138" i="42"/>
  <c r="DX136" i="42"/>
  <c r="DW137" i="42"/>
  <c r="DW116" i="42" l="1"/>
  <c r="DW39" i="42"/>
  <c r="DY40" i="42"/>
  <c r="DX42" i="42"/>
  <c r="DX41" i="42"/>
  <c r="DX45" i="42" s="1"/>
  <c r="DQ118" i="42"/>
  <c r="DW63" i="42"/>
  <c r="DP142" i="42"/>
  <c r="DX138" i="42"/>
  <c r="DY136" i="42"/>
  <c r="DX137" i="42"/>
  <c r="DP18" i="42"/>
  <c r="DU19" i="42"/>
  <c r="DY17" i="42"/>
  <c r="DY16" i="42"/>
  <c r="DZ15" i="42"/>
  <c r="DV20" i="42"/>
  <c r="DX66" i="42"/>
  <c r="DX65" i="42"/>
  <c r="DY64" i="42"/>
  <c r="DX116" i="42"/>
  <c r="DR115" i="42"/>
  <c r="DR118" i="42" s="1"/>
  <c r="DX93" i="42"/>
  <c r="DW141" i="42"/>
  <c r="DZ112" i="42"/>
  <c r="DY114" i="42"/>
  <c r="DY113" i="42"/>
  <c r="DW135" i="42"/>
  <c r="DX117" i="42"/>
  <c r="DV19" i="42"/>
  <c r="DN21" i="42"/>
  <c r="DO46" i="42"/>
  <c r="DO18" i="42"/>
  <c r="DO70" i="42"/>
  <c r="DP70" i="42" s="1"/>
  <c r="DW69" i="42"/>
  <c r="DX87" i="42"/>
  <c r="DW92" i="42"/>
  <c r="DQ91" i="42"/>
  <c r="DQ94" i="42" s="1"/>
  <c r="DW68" i="42"/>
  <c r="DQ67" i="42"/>
  <c r="DY90" i="42"/>
  <c r="DY89" i="42"/>
  <c r="DZ88" i="42"/>
  <c r="DW20" i="42" l="1"/>
  <c r="DY87" i="42"/>
  <c r="DS91" i="42" s="1"/>
  <c r="DX135" i="42"/>
  <c r="DX39" i="42"/>
  <c r="DZ40" i="42"/>
  <c r="DY42" i="42"/>
  <c r="DY39" i="42" s="1"/>
  <c r="DY41" i="42"/>
  <c r="DY45" i="42" s="1"/>
  <c r="DW44" i="42"/>
  <c r="DQ43" i="42"/>
  <c r="DX92" i="42"/>
  <c r="DR91" i="42"/>
  <c r="DR94" i="42" s="1"/>
  <c r="DY93" i="42"/>
  <c r="DW140" i="42"/>
  <c r="DQ139" i="42"/>
  <c r="DQ142" i="42" s="1"/>
  <c r="DZ64" i="42"/>
  <c r="DY66" i="42"/>
  <c r="DY65" i="42"/>
  <c r="EA88" i="42"/>
  <c r="DZ90" i="42"/>
  <c r="DZ89" i="42"/>
  <c r="DY117" i="42"/>
  <c r="DX69" i="42"/>
  <c r="DX141" i="42"/>
  <c r="DQ70" i="42"/>
  <c r="DO21" i="42"/>
  <c r="DP46" i="42"/>
  <c r="DY111" i="42"/>
  <c r="DX63" i="42"/>
  <c r="DY138" i="42"/>
  <c r="DZ136" i="42"/>
  <c r="DY137" i="42"/>
  <c r="EA112" i="42"/>
  <c r="DZ114" i="42"/>
  <c r="DZ113" i="42"/>
  <c r="EA15" i="42"/>
  <c r="DZ17" i="42"/>
  <c r="DZ16" i="42"/>
  <c r="DX140" i="42"/>
  <c r="DR139" i="42"/>
  <c r="DY92" i="42" l="1"/>
  <c r="DW19" i="42"/>
  <c r="DZ87" i="42"/>
  <c r="DT91" i="42" s="1"/>
  <c r="DT94" i="42" s="1"/>
  <c r="DS43" i="42"/>
  <c r="DY44" i="42"/>
  <c r="DQ18" i="42"/>
  <c r="EA40" i="42"/>
  <c r="DZ42" i="42"/>
  <c r="DZ41" i="42"/>
  <c r="DZ45" i="42" s="1"/>
  <c r="DY63" i="42"/>
  <c r="DY68" i="42" s="1"/>
  <c r="DR43" i="42"/>
  <c r="DX44" i="42"/>
  <c r="DS94" i="42"/>
  <c r="EB15" i="42"/>
  <c r="EA17" i="42"/>
  <c r="EA16" i="42"/>
  <c r="DZ137" i="42"/>
  <c r="DZ138" i="42"/>
  <c r="EA136" i="42"/>
  <c r="DX20" i="42"/>
  <c r="DZ93" i="42"/>
  <c r="EA64" i="42"/>
  <c r="DZ66" i="42"/>
  <c r="DZ65" i="42"/>
  <c r="DZ117" i="42"/>
  <c r="DY135" i="42"/>
  <c r="DR142" i="42"/>
  <c r="DX68" i="42"/>
  <c r="DX19" i="42" s="1"/>
  <c r="DR67" i="42"/>
  <c r="DR18" i="42" s="1"/>
  <c r="DZ111" i="42"/>
  <c r="DY116" i="42"/>
  <c r="DS115" i="42"/>
  <c r="DS118" i="42" s="1"/>
  <c r="EB88" i="42"/>
  <c r="EA90" i="42"/>
  <c r="EA89" i="42"/>
  <c r="DY69" i="42"/>
  <c r="EA114" i="42"/>
  <c r="EA113" i="42"/>
  <c r="EB112" i="42"/>
  <c r="DY141" i="42"/>
  <c r="DP21" i="42"/>
  <c r="DQ46" i="42"/>
  <c r="EA111" i="42" l="1"/>
  <c r="EA116" i="42" s="1"/>
  <c r="DZ92" i="42"/>
  <c r="EA87" i="42"/>
  <c r="DU91" i="42" s="1"/>
  <c r="DU94" i="42" s="1"/>
  <c r="DZ39" i="42"/>
  <c r="EB40" i="42"/>
  <c r="EA42" i="42"/>
  <c r="EA41" i="42"/>
  <c r="EA45" i="42" s="1"/>
  <c r="DS67" i="42"/>
  <c r="EA92" i="42"/>
  <c r="DQ21" i="42"/>
  <c r="DR46" i="42"/>
  <c r="EC112" i="42"/>
  <c r="EB114" i="42"/>
  <c r="EB113" i="42"/>
  <c r="EA117" i="42"/>
  <c r="EA93" i="42"/>
  <c r="DZ116" i="42"/>
  <c r="DT115" i="42"/>
  <c r="DT118" i="42" s="1"/>
  <c r="DZ135" i="42"/>
  <c r="EC15" i="42"/>
  <c r="EB17" i="42"/>
  <c r="EB16" i="42"/>
  <c r="DZ69" i="42"/>
  <c r="DZ141" i="42"/>
  <c r="DY20" i="42"/>
  <c r="EC88" i="42"/>
  <c r="EB90" i="42"/>
  <c r="EB89" i="42"/>
  <c r="DR70" i="42"/>
  <c r="DS70" i="42" s="1"/>
  <c r="DY140" i="42"/>
  <c r="DY19" i="42" s="1"/>
  <c r="DS139" i="42"/>
  <c r="DZ63" i="42"/>
  <c r="EB64" i="42"/>
  <c r="EA66" i="42"/>
  <c r="EA65" i="42"/>
  <c r="EA138" i="42"/>
  <c r="EA137" i="42"/>
  <c r="EB136" i="42"/>
  <c r="DU115" i="42" l="1"/>
  <c r="DU118" i="42" s="1"/>
  <c r="EA39" i="42"/>
  <c r="EB87" i="42"/>
  <c r="EB92" i="42" s="1"/>
  <c r="EB42" i="42"/>
  <c r="EB41" i="42"/>
  <c r="EB45" i="42" s="1"/>
  <c r="EC40" i="42"/>
  <c r="DT43" i="42"/>
  <c r="DZ44" i="42"/>
  <c r="DS18" i="42"/>
  <c r="DS142" i="42"/>
  <c r="DZ68" i="42"/>
  <c r="DT67" i="42"/>
  <c r="DT70" i="42" s="1"/>
  <c r="EB66" i="42"/>
  <c r="EB65" i="42"/>
  <c r="EC64" i="42"/>
  <c r="EA135" i="42"/>
  <c r="DZ140" i="42"/>
  <c r="DT139" i="42"/>
  <c r="EB111" i="42"/>
  <c r="EB93" i="42"/>
  <c r="ED112" i="42"/>
  <c r="EC114" i="42"/>
  <c r="EC113" i="42"/>
  <c r="EB138" i="42"/>
  <c r="EC136" i="42"/>
  <c r="EB137" i="42"/>
  <c r="DZ20" i="42"/>
  <c r="DR21" i="42"/>
  <c r="DS46" i="42"/>
  <c r="EA69" i="42"/>
  <c r="EA63" i="42"/>
  <c r="EA141" i="42"/>
  <c r="EC90" i="42"/>
  <c r="EC87" i="42" s="1"/>
  <c r="EC89" i="42"/>
  <c r="ED88" i="42"/>
  <c r="EC17" i="42"/>
  <c r="EC16" i="42"/>
  <c r="ED15" i="42"/>
  <c r="EB117" i="42"/>
  <c r="DV91" i="42" l="1"/>
  <c r="DV94" i="42" s="1"/>
  <c r="DT142" i="42"/>
  <c r="EC41" i="42"/>
  <c r="EC45" i="42" s="1"/>
  <c r="EC42" i="42"/>
  <c r="EC39" i="42" s="1"/>
  <c r="ED40" i="42"/>
  <c r="EB39" i="42"/>
  <c r="EB135" i="42"/>
  <c r="EB140" i="42" s="1"/>
  <c r="DU43" i="42"/>
  <c r="EA44" i="42"/>
  <c r="EB63" i="42"/>
  <c r="EB68" i="42" s="1"/>
  <c r="EE15" i="42"/>
  <c r="ED17" i="42"/>
  <c r="ED16" i="42"/>
  <c r="EC93" i="42"/>
  <c r="DS21" i="42"/>
  <c r="DT46" i="42"/>
  <c r="EC117" i="42"/>
  <c r="EA140" i="42"/>
  <c r="DU139" i="42"/>
  <c r="EC92" i="42"/>
  <c r="DW91" i="42"/>
  <c r="DW94" i="42" s="1"/>
  <c r="EA68" i="42"/>
  <c r="EA19" i="42" s="1"/>
  <c r="DU67" i="42"/>
  <c r="EB141" i="42"/>
  <c r="EC111" i="42"/>
  <c r="EC65" i="42"/>
  <c r="ED64" i="42"/>
  <c r="EC66" i="42"/>
  <c r="EC63" i="42" s="1"/>
  <c r="DT18" i="42"/>
  <c r="EE88" i="42"/>
  <c r="ED89" i="42"/>
  <c r="ED90" i="42"/>
  <c r="EA20" i="42"/>
  <c r="EC138" i="42"/>
  <c r="ED136" i="42"/>
  <c r="EC137" i="42"/>
  <c r="EE112" i="42"/>
  <c r="ED114" i="42"/>
  <c r="ED113" i="42"/>
  <c r="EB116" i="42"/>
  <c r="DV115" i="42"/>
  <c r="DV118" i="42" s="1"/>
  <c r="EB69" i="42"/>
  <c r="DZ19" i="42"/>
  <c r="DU18" i="42" l="1"/>
  <c r="DV139" i="42"/>
  <c r="DV43" i="42"/>
  <c r="EB44" i="42"/>
  <c r="EB19" i="42" s="1"/>
  <c r="EE40" i="42"/>
  <c r="ED41" i="42"/>
  <c r="ED45" i="42" s="1"/>
  <c r="ED42" i="42"/>
  <c r="ED39" i="42" s="1"/>
  <c r="DV67" i="42"/>
  <c r="EC44" i="42"/>
  <c r="DW43" i="42"/>
  <c r="DU142" i="42"/>
  <c r="DV142" i="42" s="1"/>
  <c r="DU70" i="42"/>
  <c r="EB20" i="42"/>
  <c r="DV70" i="42"/>
  <c r="ED117" i="42"/>
  <c r="ED137" i="42"/>
  <c r="ED138" i="42"/>
  <c r="ED135" i="42" s="1"/>
  <c r="EE136" i="42"/>
  <c r="EE114" i="42"/>
  <c r="EE113" i="42"/>
  <c r="EF112" i="42"/>
  <c r="ED93" i="42"/>
  <c r="EC69" i="42"/>
  <c r="EC141" i="42"/>
  <c r="EF88" i="42"/>
  <c r="EE90" i="42"/>
  <c r="EE89" i="42"/>
  <c r="DT21" i="42"/>
  <c r="DU46" i="42"/>
  <c r="EC68" i="42"/>
  <c r="DW67" i="42"/>
  <c r="EC116" i="42"/>
  <c r="DW115" i="42"/>
  <c r="DW118" i="42" s="1"/>
  <c r="ED111" i="42"/>
  <c r="EC135" i="42"/>
  <c r="ED87" i="42"/>
  <c r="EE64" i="42"/>
  <c r="ED65" i="42"/>
  <c r="ED66" i="42"/>
  <c r="EF15" i="42"/>
  <c r="EE17" i="42"/>
  <c r="EE16" i="42"/>
  <c r="DV18" i="42" l="1"/>
  <c r="DW70" i="42"/>
  <c r="EE87" i="42"/>
  <c r="DY91" i="42" s="1"/>
  <c r="DX43" i="42"/>
  <c r="ED44" i="42"/>
  <c r="EE41" i="42"/>
  <c r="EE45" i="42" s="1"/>
  <c r="EF40" i="42"/>
  <c r="EE42" i="42"/>
  <c r="EE39" i="42" s="1"/>
  <c r="ED116" i="42"/>
  <c r="DX115" i="42"/>
  <c r="DX118" i="42" s="1"/>
  <c r="EE92" i="42"/>
  <c r="EF64" i="42"/>
  <c r="EE66" i="42"/>
  <c r="EE65" i="42"/>
  <c r="DU21" i="42"/>
  <c r="DV46" i="42"/>
  <c r="EG88" i="42"/>
  <c r="EF90" i="42"/>
  <c r="EF89" i="42"/>
  <c r="EC20" i="42"/>
  <c r="EG112" i="42"/>
  <c r="EF114" i="42"/>
  <c r="EF113" i="42"/>
  <c r="ED141" i="42"/>
  <c r="EE117" i="42"/>
  <c r="EG15" i="42"/>
  <c r="EF17" i="42"/>
  <c r="EF16" i="42"/>
  <c r="ED63" i="42"/>
  <c r="ED92" i="42"/>
  <c r="DX91" i="42"/>
  <c r="DX94" i="42" s="1"/>
  <c r="EC140" i="42"/>
  <c r="EC19" i="42" s="1"/>
  <c r="DW139" i="42"/>
  <c r="DW142" i="42" s="1"/>
  <c r="EE93" i="42"/>
  <c r="EE111" i="42"/>
  <c r="EE138" i="42"/>
  <c r="EF136" i="42"/>
  <c r="EE137" i="42"/>
  <c r="ED69" i="42"/>
  <c r="ED140" i="42"/>
  <c r="DX139" i="42"/>
  <c r="ED20" i="42" l="1"/>
  <c r="EF87" i="42"/>
  <c r="EF92" i="42" s="1"/>
  <c r="DY43" i="42"/>
  <c r="EE44" i="42"/>
  <c r="DY94" i="42"/>
  <c r="EF42" i="42"/>
  <c r="EF41" i="42"/>
  <c r="EF45" i="42" s="1"/>
  <c r="EG40" i="42"/>
  <c r="EE135" i="42"/>
  <c r="EE140" i="42" s="1"/>
  <c r="DX142" i="42"/>
  <c r="EG17" i="42"/>
  <c r="EG16" i="42"/>
  <c r="EH15" i="42"/>
  <c r="EH112" i="42"/>
  <c r="EG114" i="42"/>
  <c r="EG113" i="42"/>
  <c r="EG90" i="42"/>
  <c r="EG89" i="42"/>
  <c r="EH88" i="42"/>
  <c r="EE63" i="42"/>
  <c r="EF138" i="42"/>
  <c r="EG136" i="42"/>
  <c r="EF137" i="42"/>
  <c r="DZ91" i="42"/>
  <c r="DZ94" i="42" s="1"/>
  <c r="ED68" i="42"/>
  <c r="ED19" i="42" s="1"/>
  <c r="DX67" i="42"/>
  <c r="EF117" i="42"/>
  <c r="DV21" i="42"/>
  <c r="DW46" i="42"/>
  <c r="EF66" i="42"/>
  <c r="EF65" i="42"/>
  <c r="EG64" i="42"/>
  <c r="EE69" i="42"/>
  <c r="EE116" i="42"/>
  <c r="DY115" i="42"/>
  <c r="DY118" i="42" s="1"/>
  <c r="EE141" i="42"/>
  <c r="DW18" i="42"/>
  <c r="EF111" i="42"/>
  <c r="EF93" i="42"/>
  <c r="EE20" i="42" l="1"/>
  <c r="DY139" i="42"/>
  <c r="DY142" i="42" s="1"/>
  <c r="EH40" i="42"/>
  <c r="EG41" i="42"/>
  <c r="EG45" i="42" s="1"/>
  <c r="EG42" i="42"/>
  <c r="EG39" i="42" s="1"/>
  <c r="EF39" i="42"/>
  <c r="EF141" i="42"/>
  <c r="EI112" i="42"/>
  <c r="EH114" i="42"/>
  <c r="EH113" i="42"/>
  <c r="EF63" i="42"/>
  <c r="EG138" i="42"/>
  <c r="EH136" i="42"/>
  <c r="EG137" i="42"/>
  <c r="EI88" i="42"/>
  <c r="EH90" i="42"/>
  <c r="EH87" i="42" s="1"/>
  <c r="EH89" i="42"/>
  <c r="EI15" i="42"/>
  <c r="EH17" i="42"/>
  <c r="EH16" i="42"/>
  <c r="EF69" i="42"/>
  <c r="EF116" i="42"/>
  <c r="DZ115" i="42"/>
  <c r="DZ118" i="42" s="1"/>
  <c r="DW21" i="42"/>
  <c r="DX46" i="42"/>
  <c r="DX18" i="42"/>
  <c r="DX70" i="42"/>
  <c r="EG117" i="42"/>
  <c r="EE68" i="42"/>
  <c r="EE19" i="42" s="1"/>
  <c r="DY67" i="42"/>
  <c r="DY18" i="42" s="1"/>
  <c r="EF135" i="42"/>
  <c r="EG93" i="42"/>
  <c r="EH64" i="42"/>
  <c r="EG66" i="42"/>
  <c r="EG65" i="42"/>
  <c r="EG87" i="42"/>
  <c r="EG111" i="42"/>
  <c r="EG135" i="42" l="1"/>
  <c r="EH111" i="42"/>
  <c r="EH116" i="42" s="1"/>
  <c r="EF44" i="42"/>
  <c r="DZ43" i="42"/>
  <c r="EA43" i="42"/>
  <c r="EG44" i="42"/>
  <c r="EH42" i="42"/>
  <c r="EI40" i="42"/>
  <c r="EH41" i="42"/>
  <c r="EH45" i="42" s="1"/>
  <c r="EG63" i="42"/>
  <c r="EA67" i="42" s="1"/>
  <c r="EF20" i="42"/>
  <c r="EF140" i="42"/>
  <c r="DZ139" i="42"/>
  <c r="DZ142" i="42" s="1"/>
  <c r="EF68" i="42"/>
  <c r="DZ67" i="42"/>
  <c r="EI64" i="42"/>
  <c r="EH66" i="42"/>
  <c r="EH65" i="42"/>
  <c r="EG141" i="42"/>
  <c r="EI114" i="42"/>
  <c r="EI113" i="42"/>
  <c r="EJ112" i="42"/>
  <c r="EJ88" i="42"/>
  <c r="EI90" i="42"/>
  <c r="EI89" i="42"/>
  <c r="EG92" i="42"/>
  <c r="EA91" i="42"/>
  <c r="EA94" i="42" s="1"/>
  <c r="DY70" i="42"/>
  <c r="EJ15" i="42"/>
  <c r="EI17" i="42"/>
  <c r="EI16" i="42"/>
  <c r="EH93" i="42"/>
  <c r="EH137" i="42"/>
  <c r="EH138" i="42"/>
  <c r="EI136" i="42"/>
  <c r="DX21" i="42"/>
  <c r="DY46" i="42"/>
  <c r="EG116" i="42"/>
  <c r="EA115" i="42"/>
  <c r="EA118" i="42" s="1"/>
  <c r="EG69" i="42"/>
  <c r="EH92" i="42"/>
  <c r="EB91" i="42"/>
  <c r="EG140" i="42"/>
  <c r="EA139" i="42"/>
  <c r="EH117" i="42"/>
  <c r="EH39" i="42" l="1"/>
  <c r="EB43" i="42" s="1"/>
  <c r="EG68" i="42"/>
  <c r="EH135" i="42"/>
  <c r="EH140" i="42" s="1"/>
  <c r="DZ70" i="42"/>
  <c r="EA70" i="42" s="1"/>
  <c r="EI87" i="42"/>
  <c r="EI92" i="42" s="1"/>
  <c r="EI42" i="42"/>
  <c r="EJ40" i="42"/>
  <c r="EI41" i="42"/>
  <c r="EI45" i="42" s="1"/>
  <c r="EH44" i="42"/>
  <c r="EB115" i="42"/>
  <c r="EB118" i="42" s="1"/>
  <c r="EI111" i="42"/>
  <c r="EI116" i="42" s="1"/>
  <c r="EG20" i="42"/>
  <c r="EB94" i="42"/>
  <c r="EB139" i="42"/>
  <c r="EI138" i="42"/>
  <c r="EI137" i="42"/>
  <c r="EJ136" i="42"/>
  <c r="EI93" i="42"/>
  <c r="EI117" i="42"/>
  <c r="EH63" i="42"/>
  <c r="EF19" i="42"/>
  <c r="EA18" i="42"/>
  <c r="EJ64" i="42"/>
  <c r="EI66" i="42"/>
  <c r="EI65" i="42"/>
  <c r="EA142" i="42"/>
  <c r="EH141" i="42"/>
  <c r="EK88" i="42"/>
  <c r="EJ90" i="42"/>
  <c r="EJ89" i="42"/>
  <c r="DZ18" i="42"/>
  <c r="EG19" i="42"/>
  <c r="DY21" i="42"/>
  <c r="DZ46" i="42"/>
  <c r="EJ17" i="42"/>
  <c r="EK15" i="42"/>
  <c r="EJ16" i="42"/>
  <c r="EK112" i="42"/>
  <c r="EJ114" i="42"/>
  <c r="EJ113" i="42"/>
  <c r="EH69" i="42"/>
  <c r="EJ111" i="42" l="1"/>
  <c r="EC91" i="42"/>
  <c r="EC94" i="42" s="1"/>
  <c r="EK40" i="42"/>
  <c r="EJ41" i="42"/>
  <c r="EJ45" i="42" s="1"/>
  <c r="EJ42" i="42"/>
  <c r="EJ39" i="42" s="1"/>
  <c r="EI63" i="42"/>
  <c r="EI68" i="42" s="1"/>
  <c r="EC115" i="42"/>
  <c r="EC118" i="42" s="1"/>
  <c r="EI39" i="42"/>
  <c r="EJ87" i="42"/>
  <c r="EJ92" i="42" s="1"/>
  <c r="EB142" i="42"/>
  <c r="EH20" i="42"/>
  <c r="EL112" i="42"/>
  <c r="EK114" i="42"/>
  <c r="EK113" i="42"/>
  <c r="EK90" i="42"/>
  <c r="EK89" i="42"/>
  <c r="EL88" i="42"/>
  <c r="EI69" i="42"/>
  <c r="EJ138" i="42"/>
  <c r="EK136" i="42"/>
  <c r="EJ137" i="42"/>
  <c r="DZ21" i="42"/>
  <c r="EA46" i="42"/>
  <c r="EJ117" i="42"/>
  <c r="EJ93" i="42"/>
  <c r="EJ66" i="42"/>
  <c r="EJ65" i="42"/>
  <c r="EK64" i="42"/>
  <c r="EI141" i="42"/>
  <c r="EJ116" i="42"/>
  <c r="ED115" i="42"/>
  <c r="ED118" i="42" s="1"/>
  <c r="EK16" i="42"/>
  <c r="EK17" i="42"/>
  <c r="EL15" i="42"/>
  <c r="EH68" i="42"/>
  <c r="EH19" i="42" s="1"/>
  <c r="EB67" i="42"/>
  <c r="EI135" i="42"/>
  <c r="EC67" i="42" l="1"/>
  <c r="ED91" i="42"/>
  <c r="ED94" i="42" s="1"/>
  <c r="EI44" i="42"/>
  <c r="EC43" i="42"/>
  <c r="EC18" i="42" s="1"/>
  <c r="EJ63" i="42"/>
  <c r="EJ68" i="42" s="1"/>
  <c r="EJ44" i="42"/>
  <c r="ED43" i="42"/>
  <c r="EJ135" i="42"/>
  <c r="EJ140" i="42" s="1"/>
  <c r="EK111" i="42"/>
  <c r="EK116" i="42" s="1"/>
  <c r="EK41" i="42"/>
  <c r="EK45" i="42" s="1"/>
  <c r="EK42" i="42"/>
  <c r="EK39" i="42" s="1"/>
  <c r="EL40" i="42"/>
  <c r="EI140" i="42"/>
  <c r="EI19" i="42" s="1"/>
  <c r="EC139" i="42"/>
  <c r="EC142" i="42" s="1"/>
  <c r="EM88" i="42"/>
  <c r="EL90" i="42"/>
  <c r="EL89" i="42"/>
  <c r="EB18" i="42"/>
  <c r="EB70" i="42"/>
  <c r="EC70" i="42" s="1"/>
  <c r="EK93" i="42"/>
  <c r="EM112" i="42"/>
  <c r="EL114" i="42"/>
  <c r="EL113" i="42"/>
  <c r="EA21" i="42"/>
  <c r="EB46" i="42"/>
  <c r="EK65" i="42"/>
  <c r="EL64" i="42"/>
  <c r="EK66" i="42"/>
  <c r="EL17" i="42"/>
  <c r="EM15" i="42"/>
  <c r="EL16" i="42"/>
  <c r="EJ69" i="42"/>
  <c r="EJ141" i="42"/>
  <c r="EI20" i="42"/>
  <c r="EK87" i="42"/>
  <c r="EK138" i="42"/>
  <c r="EL136" i="42"/>
  <c r="EK137" i="42"/>
  <c r="EK117" i="42"/>
  <c r="EJ19" i="42" l="1"/>
  <c r="EK44" i="42"/>
  <c r="EE43" i="42"/>
  <c r="EE115" i="42"/>
  <c r="EE118" i="42" s="1"/>
  <c r="EM40" i="42"/>
  <c r="EL42" i="42"/>
  <c r="EL41" i="42"/>
  <c r="EL45" i="42" s="1"/>
  <c r="EL87" i="42"/>
  <c r="EL92" i="42" s="1"/>
  <c r="ED67" i="42"/>
  <c r="EL111" i="42"/>
  <c r="EL116" i="42" s="1"/>
  <c r="ED139" i="42"/>
  <c r="ED142" i="42" s="1"/>
  <c r="EK92" i="42"/>
  <c r="EE91" i="42"/>
  <c r="EE94" i="42" s="1"/>
  <c r="EJ20" i="42"/>
  <c r="EM64" i="42"/>
  <c r="EL65" i="42"/>
  <c r="EL66" i="42"/>
  <c r="EM114" i="42"/>
  <c r="EM113" i="42"/>
  <c r="EN112" i="42"/>
  <c r="EL93" i="42"/>
  <c r="EK141" i="42"/>
  <c r="EN15" i="42"/>
  <c r="EM16" i="42"/>
  <c r="EM17" i="42"/>
  <c r="EK69" i="42"/>
  <c r="EL138" i="42"/>
  <c r="EL137" i="42"/>
  <c r="EM136" i="42"/>
  <c r="EB21" i="42"/>
  <c r="EC46" i="42"/>
  <c r="EL117" i="42"/>
  <c r="EN88" i="42"/>
  <c r="EM90" i="42"/>
  <c r="EM89" i="42"/>
  <c r="EK135" i="42"/>
  <c r="EK63" i="42"/>
  <c r="EM111" i="42" l="1"/>
  <c r="EL63" i="42"/>
  <c r="ED18" i="42"/>
  <c r="EL39" i="42"/>
  <c r="EF91" i="42"/>
  <c r="EF94" i="42" s="1"/>
  <c r="EM41" i="42"/>
  <c r="EM45" i="42" s="1"/>
  <c r="EM42" i="42"/>
  <c r="EM39" i="42" s="1"/>
  <c r="EN40" i="42"/>
  <c r="ED70" i="42"/>
  <c r="EL91" i="42"/>
  <c r="EF115" i="42"/>
  <c r="EF118" i="42" s="1"/>
  <c r="EM87" i="42"/>
  <c r="EM92" i="42" s="1"/>
  <c r="EL115" i="42"/>
  <c r="EK140" i="42"/>
  <c r="EE139" i="42"/>
  <c r="EE142" i="42" s="1"/>
  <c r="EM93" i="42"/>
  <c r="EM138" i="42"/>
  <c r="EM135" i="42" s="1"/>
  <c r="EN136" i="42"/>
  <c r="EM137" i="42"/>
  <c r="EK20" i="42"/>
  <c r="EN17" i="42"/>
  <c r="EO15" i="42"/>
  <c r="EN16" i="42"/>
  <c r="EL69" i="42"/>
  <c r="EC21" i="42"/>
  <c r="ED46" i="42"/>
  <c r="EL141" i="42"/>
  <c r="EO112" i="42"/>
  <c r="EN113" i="42"/>
  <c r="EN114" i="42"/>
  <c r="EN64" i="42"/>
  <c r="EM66" i="42"/>
  <c r="EM65" i="42"/>
  <c r="EK68" i="42"/>
  <c r="EE67" i="42"/>
  <c r="EO88" i="42"/>
  <c r="EN90" i="42"/>
  <c r="EN89" i="42"/>
  <c r="EL135" i="42"/>
  <c r="EM117" i="42"/>
  <c r="EM116" i="42"/>
  <c r="EM115" i="42"/>
  <c r="EG115" i="42"/>
  <c r="EL68" i="42"/>
  <c r="EL67" i="42"/>
  <c r="EF67" i="42"/>
  <c r="EN111" i="42" l="1"/>
  <c r="EE18" i="42"/>
  <c r="EN42" i="42"/>
  <c r="EN41" i="42"/>
  <c r="EN45" i="42" s="1"/>
  <c r="EO40" i="42"/>
  <c r="EG43" i="42"/>
  <c r="EM43" i="42"/>
  <c r="EM44" i="42"/>
  <c r="EG91" i="42"/>
  <c r="EM91" i="42"/>
  <c r="EK19" i="42"/>
  <c r="EF43" i="42"/>
  <c r="EL44" i="42"/>
  <c r="EL43" i="42"/>
  <c r="EG118" i="42"/>
  <c r="EL20" i="42"/>
  <c r="EO16" i="42"/>
  <c r="EO17" i="42"/>
  <c r="EP15" i="42"/>
  <c r="EN138" i="42"/>
  <c r="EO136" i="42"/>
  <c r="EN137" i="42"/>
  <c r="EM69" i="42"/>
  <c r="EL140" i="42"/>
  <c r="EL139" i="42"/>
  <c r="EF139" i="42"/>
  <c r="EF142" i="42" s="1"/>
  <c r="EN93" i="42"/>
  <c r="EM63" i="42"/>
  <c r="EN117" i="42"/>
  <c r="EM140" i="42"/>
  <c r="EM139" i="42"/>
  <c r="EG139" i="42"/>
  <c r="EP112" i="42"/>
  <c r="EO114" i="42"/>
  <c r="EO113" i="42"/>
  <c r="ED21" i="42"/>
  <c r="EE46" i="42"/>
  <c r="EN116" i="42"/>
  <c r="EN115" i="42"/>
  <c r="EH115" i="42"/>
  <c r="EH118" i="42" s="1"/>
  <c r="EN87" i="42"/>
  <c r="EN66" i="42"/>
  <c r="EN65" i="42"/>
  <c r="EO64" i="42"/>
  <c r="EO90" i="42"/>
  <c r="EO89" i="42"/>
  <c r="EP88" i="42"/>
  <c r="EE70" i="42"/>
  <c r="EF70" i="42" s="1"/>
  <c r="EG94" i="42"/>
  <c r="EM141" i="42"/>
  <c r="EL18" i="42" l="1"/>
  <c r="EL19" i="42"/>
  <c r="EF18" i="42"/>
  <c r="EO42" i="42"/>
  <c r="EP40" i="42"/>
  <c r="EO41" i="42"/>
  <c r="EO45" i="42" s="1"/>
  <c r="EN39" i="42"/>
  <c r="EG142" i="42"/>
  <c r="EN91" i="42"/>
  <c r="EN92" i="42"/>
  <c r="EH91" i="42"/>
  <c r="EH94" i="42" s="1"/>
  <c r="EM67" i="42"/>
  <c r="EM18" i="42" s="1"/>
  <c r="EM68" i="42"/>
  <c r="EM19" i="42" s="1"/>
  <c r="EG67" i="42"/>
  <c r="EG18" i="42" s="1"/>
  <c r="EO117" i="42"/>
  <c r="EN141" i="42"/>
  <c r="EQ88" i="42"/>
  <c r="EP90" i="42"/>
  <c r="EP89" i="42"/>
  <c r="EO87" i="42"/>
  <c r="EN69" i="42"/>
  <c r="EO111" i="42"/>
  <c r="EM20" i="42"/>
  <c r="EO138" i="42"/>
  <c r="EP136" i="42"/>
  <c r="EO137" i="42"/>
  <c r="EP17" i="42"/>
  <c r="EQ15" i="42"/>
  <c r="EP16" i="42"/>
  <c r="EO93" i="42"/>
  <c r="EP64" i="42"/>
  <c r="EO66" i="42"/>
  <c r="EO65" i="42"/>
  <c r="EN63" i="42"/>
  <c r="EE21" i="42"/>
  <c r="EF46" i="42"/>
  <c r="EQ112" i="42"/>
  <c r="EP114" i="42"/>
  <c r="EP113" i="42"/>
  <c r="EN135" i="42"/>
  <c r="EO63" i="42" l="1"/>
  <c r="EN44" i="42"/>
  <c r="EH43" i="42"/>
  <c r="EN43" i="42"/>
  <c r="EQ40" i="42"/>
  <c r="EP42" i="42"/>
  <c r="EP41" i="42"/>
  <c r="EP45" i="42" s="1"/>
  <c r="EO39" i="42"/>
  <c r="EN140" i="42"/>
  <c r="EN139" i="42"/>
  <c r="EH139" i="42"/>
  <c r="EH142" i="42" s="1"/>
  <c r="EF21" i="42"/>
  <c r="EG46" i="42"/>
  <c r="EP137" i="42"/>
  <c r="EP138" i="42"/>
  <c r="EP135" i="42" s="1"/>
  <c r="EQ136" i="42"/>
  <c r="EP117" i="42"/>
  <c r="EP111" i="42"/>
  <c r="EN68" i="42"/>
  <c r="EN67" i="42"/>
  <c r="EN18" i="42" s="1"/>
  <c r="EH67" i="42"/>
  <c r="EG70" i="42"/>
  <c r="EN20" i="42"/>
  <c r="EP87" i="42"/>
  <c r="EO69" i="42"/>
  <c r="EO141" i="42"/>
  <c r="EQ90" i="42"/>
  <c r="EQ89" i="42"/>
  <c r="EQ114" i="42"/>
  <c r="EQ113" i="42"/>
  <c r="EO116" i="42"/>
  <c r="EO115" i="42"/>
  <c r="EI115" i="42"/>
  <c r="EI118" i="42" s="1"/>
  <c r="EO92" i="42"/>
  <c r="EO91" i="42"/>
  <c r="EI91" i="42"/>
  <c r="EO68" i="42"/>
  <c r="EO67" i="42"/>
  <c r="EI67" i="42"/>
  <c r="EQ64" i="42"/>
  <c r="EP66" i="42"/>
  <c r="EP65" i="42"/>
  <c r="EQ17" i="42"/>
  <c r="EQ16" i="42"/>
  <c r="I10" i="42"/>
  <c r="F10" i="42"/>
  <c r="F9" i="42"/>
  <c r="E62" i="36" s="1"/>
  <c r="D10" i="42"/>
  <c r="F11" i="42"/>
  <c r="E64" i="36" s="1"/>
  <c r="F12" i="42"/>
  <c r="G10" i="42"/>
  <c r="H12" i="42"/>
  <c r="G9" i="42"/>
  <c r="F62" i="36" s="1"/>
  <c r="G12" i="42"/>
  <c r="H9" i="42"/>
  <c r="G62" i="36" s="1"/>
  <c r="G11" i="42"/>
  <c r="F64" i="36" s="1"/>
  <c r="H10" i="42"/>
  <c r="I12" i="42"/>
  <c r="H11" i="42"/>
  <c r="G64" i="36" s="1"/>
  <c r="I9" i="42"/>
  <c r="H62" i="36" s="1"/>
  <c r="I11" i="42"/>
  <c r="H64" i="36" s="1"/>
  <c r="J11" i="42"/>
  <c r="I64" i="36" s="1"/>
  <c r="J10" i="42"/>
  <c r="J12" i="42"/>
  <c r="J9" i="42"/>
  <c r="I62" i="36" s="1"/>
  <c r="D9" i="42"/>
  <c r="C62" i="36" s="1"/>
  <c r="M12" i="42"/>
  <c r="K11" i="42"/>
  <c r="J64" i="36" s="1"/>
  <c r="L10" i="42"/>
  <c r="K9" i="42"/>
  <c r="J62" i="36" s="1"/>
  <c r="K10" i="42"/>
  <c r="D11" i="42"/>
  <c r="C64" i="36" s="1"/>
  <c r="L11" i="42"/>
  <c r="K64" i="36" s="1"/>
  <c r="K12" i="42"/>
  <c r="L12" i="42"/>
  <c r="M9" i="42"/>
  <c r="L62" i="36" s="1"/>
  <c r="L9" i="42"/>
  <c r="K62" i="36" s="1"/>
  <c r="N10" i="42"/>
  <c r="N11" i="42"/>
  <c r="M64" i="36" s="1"/>
  <c r="M10" i="42"/>
  <c r="M11" i="42"/>
  <c r="L64" i="36" s="1"/>
  <c r="N9" i="42"/>
  <c r="M62" i="36" s="1"/>
  <c r="N12" i="42"/>
  <c r="EO135" i="42"/>
  <c r="EI94" i="42"/>
  <c r="EP93" i="42"/>
  <c r="EP39" i="42" l="1"/>
  <c r="EP63" i="42"/>
  <c r="EQ111" i="42"/>
  <c r="EQ87" i="42"/>
  <c r="EO44" i="42"/>
  <c r="EO43" i="42"/>
  <c r="EI43" i="42"/>
  <c r="EP44" i="42"/>
  <c r="EP43" i="42"/>
  <c r="EJ43" i="42"/>
  <c r="EQ42" i="42"/>
  <c r="EQ41" i="42"/>
  <c r="EQ45" i="42" s="1"/>
  <c r="C45" i="42" s="1"/>
  <c r="EH18" i="42"/>
  <c r="J63" i="36"/>
  <c r="M25" i="38"/>
  <c r="M26" i="38" s="1"/>
  <c r="I63" i="36"/>
  <c r="L25" i="38"/>
  <c r="L26" i="38" s="1"/>
  <c r="F63" i="36"/>
  <c r="I25" i="38"/>
  <c r="I26" i="38" s="1"/>
  <c r="M63" i="36"/>
  <c r="P25" i="38"/>
  <c r="P26" i="38" s="1"/>
  <c r="E63" i="36"/>
  <c r="H25" i="38"/>
  <c r="H26" i="38" s="1"/>
  <c r="K63" i="36"/>
  <c r="N25" i="38"/>
  <c r="N26" i="38" s="1"/>
  <c r="G63" i="36"/>
  <c r="J25" i="38"/>
  <c r="J26" i="38" s="1"/>
  <c r="K25" i="38"/>
  <c r="K26" i="38" s="1"/>
  <c r="H63" i="36"/>
  <c r="EO20" i="42"/>
  <c r="EH70" i="42"/>
  <c r="EI70" i="42" s="1"/>
  <c r="O25" i="38"/>
  <c r="O26" i="38" s="1"/>
  <c r="L63" i="36"/>
  <c r="C63" i="36"/>
  <c r="F25" i="38"/>
  <c r="EO140" i="42"/>
  <c r="EO19" i="42" s="1"/>
  <c r="EO139" i="42"/>
  <c r="EI139" i="42"/>
  <c r="EQ66" i="42"/>
  <c r="EQ65" i="42"/>
  <c r="EQ117" i="42"/>
  <c r="C117" i="42" s="1"/>
  <c r="EN19" i="42"/>
  <c r="EQ138" i="42"/>
  <c r="EQ137" i="42"/>
  <c r="EQ116" i="42"/>
  <c r="EQ115" i="42"/>
  <c r="C109" i="42"/>
  <c r="EK115" i="42"/>
  <c r="EP116" i="42"/>
  <c r="EP115" i="42"/>
  <c r="EJ115" i="42"/>
  <c r="EJ118" i="42" s="1"/>
  <c r="EP140" i="42"/>
  <c r="EP139" i="42"/>
  <c r="EJ139" i="42"/>
  <c r="EI142" i="42"/>
  <c r="EP69" i="42"/>
  <c r="EI18" i="42"/>
  <c r="EQ93" i="42"/>
  <c r="C93" i="42" s="1"/>
  <c r="EP141" i="42"/>
  <c r="EP68" i="42"/>
  <c r="EP67" i="42"/>
  <c r="EJ67" i="42"/>
  <c r="EO18" i="42"/>
  <c r="EQ92" i="42"/>
  <c r="EQ91" i="42"/>
  <c r="C85" i="42"/>
  <c r="EK91" i="42"/>
  <c r="EP92" i="42"/>
  <c r="EP91" i="42"/>
  <c r="EJ91" i="42"/>
  <c r="EJ94" i="42" s="1"/>
  <c r="EG21" i="42"/>
  <c r="EH46" i="42"/>
  <c r="EK94" i="42" l="1"/>
  <c r="EL94" i="42" s="1"/>
  <c r="EM94" i="42" s="1"/>
  <c r="EN94" i="42" s="1"/>
  <c r="EO94" i="42" s="1"/>
  <c r="EP94" i="42" s="1"/>
  <c r="EQ135" i="42"/>
  <c r="EQ140" i="42" s="1"/>
  <c r="C140" i="42" s="1"/>
  <c r="EQ39" i="42"/>
  <c r="EQ63" i="42"/>
  <c r="EQ67" i="42" s="1"/>
  <c r="EP19" i="42"/>
  <c r="EK118" i="42"/>
  <c r="EL118" i="42" s="1"/>
  <c r="EM118" i="42" s="1"/>
  <c r="EN118" i="42" s="1"/>
  <c r="EO118" i="42" s="1"/>
  <c r="EP118" i="42" s="1"/>
  <c r="EQ118" i="42" s="1"/>
  <c r="F26" i="38"/>
  <c r="C115" i="42"/>
  <c r="C92" i="42"/>
  <c r="EQ94" i="42"/>
  <c r="C91" i="42"/>
  <c r="EP18" i="42"/>
  <c r="EJ142" i="42"/>
  <c r="EQ141" i="42"/>
  <c r="C141" i="42" s="1"/>
  <c r="EQ69" i="42"/>
  <c r="EP20" i="42"/>
  <c r="EQ139" i="42"/>
  <c r="C133" i="42"/>
  <c r="EK139" i="42"/>
  <c r="C61" i="42"/>
  <c r="EK67" i="42"/>
  <c r="EH21" i="42"/>
  <c r="EI46" i="42"/>
  <c r="EJ18" i="42"/>
  <c r="EJ70" i="42"/>
  <c r="C116" i="42"/>
  <c r="EQ68" i="42" l="1"/>
  <c r="EQ44" i="42"/>
  <c r="C44" i="42" s="1"/>
  <c r="EQ43" i="42"/>
  <c r="EQ18" i="42" s="1"/>
  <c r="C37" i="42"/>
  <c r="EK43" i="42"/>
  <c r="C43" i="42" s="1"/>
  <c r="EK70" i="42"/>
  <c r="EL70" i="42" s="1"/>
  <c r="EM70" i="42" s="1"/>
  <c r="EN70" i="42" s="1"/>
  <c r="EO70" i="42" s="1"/>
  <c r="EP70" i="42" s="1"/>
  <c r="EQ70" i="42" s="1"/>
  <c r="C139" i="42"/>
  <c r="EI21" i="42"/>
  <c r="EJ46" i="42"/>
  <c r="C69" i="42"/>
  <c r="EQ20" i="42"/>
  <c r="EK142" i="42"/>
  <c r="EL142" i="42" s="1"/>
  <c r="EM142" i="42" s="1"/>
  <c r="EN142" i="42" s="1"/>
  <c r="EO142" i="42" s="1"/>
  <c r="EP142" i="42" s="1"/>
  <c r="EQ142" i="42" s="1"/>
  <c r="C68" i="42"/>
  <c r="C67" i="42"/>
  <c r="O11" i="42"/>
  <c r="EQ19" i="42" l="1"/>
  <c r="EK18" i="42"/>
  <c r="E11" i="42"/>
  <c r="C20" i="42"/>
  <c r="C18" i="42"/>
  <c r="E9" i="42"/>
  <c r="D62" i="36" s="1"/>
  <c r="N62" i="36" s="1"/>
  <c r="O9" i="42"/>
  <c r="E10" i="42"/>
  <c r="C19" i="42"/>
  <c r="O10" i="42"/>
  <c r="EJ21" i="42"/>
  <c r="EK46" i="42"/>
  <c r="G25" i="38" l="1"/>
  <c r="D63" i="36"/>
  <c r="N63" i="36" s="1"/>
  <c r="C11" i="42"/>
  <c r="D64" i="36"/>
  <c r="N64" i="36" s="1"/>
  <c r="C9" i="42"/>
  <c r="EK21" i="42"/>
  <c r="EL46" i="42"/>
  <c r="C10" i="42"/>
  <c r="G26" i="38" l="1"/>
  <c r="Q26" i="38" s="1"/>
  <c r="Q25" i="38"/>
  <c r="EL21" i="42"/>
  <c r="EM46" i="42"/>
  <c r="EM21" i="42" l="1"/>
  <c r="EN46" i="42"/>
  <c r="EN21" i="42" l="1"/>
  <c r="EO46" i="42"/>
  <c r="EO21" i="42" l="1"/>
  <c r="EP46" i="42"/>
  <c r="EP21" i="42" l="1"/>
  <c r="EQ46" i="42"/>
  <c r="EQ21" i="42" s="1"/>
  <c r="D12" i="42" l="1"/>
  <c r="E12" i="42"/>
  <c r="O12" i="42"/>
  <c r="P12" i="38" l="1"/>
  <c r="O12" i="38"/>
  <c r="N12" i="38"/>
  <c r="M12" i="38"/>
  <c r="L12" i="38"/>
  <c r="K12" i="38"/>
  <c r="J12" i="38"/>
  <c r="I12" i="38"/>
  <c r="H12" i="38"/>
  <c r="G12" i="38"/>
  <c r="F12" i="38"/>
  <c r="E12" i="38"/>
  <c r="E11" i="38"/>
  <c r="P8" i="38"/>
  <c r="P9" i="38" s="1"/>
  <c r="O8" i="38"/>
  <c r="O9" i="38" s="1"/>
  <c r="N8" i="38"/>
  <c r="N9" i="38" s="1"/>
  <c r="M8" i="38"/>
  <c r="M9" i="38" s="1"/>
  <c r="L8" i="38"/>
  <c r="L9" i="38" s="1"/>
  <c r="K8" i="38"/>
  <c r="K9" i="38" s="1"/>
  <c r="J8" i="38"/>
  <c r="J9" i="38" s="1"/>
  <c r="I8" i="38"/>
  <c r="I9" i="38" s="1"/>
  <c r="H8" i="38"/>
  <c r="H9" i="38" s="1"/>
  <c r="G8" i="38"/>
  <c r="G9" i="38" s="1"/>
  <c r="F8" i="38"/>
  <c r="F9" i="38" s="1"/>
  <c r="Q12" i="38" l="1"/>
  <c r="Q8" i="38"/>
  <c r="C91" i="36"/>
  <c r="XFB12" i="36"/>
  <c r="I20" i="38" l="1"/>
  <c r="F48" i="36" s="1"/>
  <c r="C92" i="36"/>
  <c r="C94" i="36"/>
  <c r="G20" i="38"/>
  <c r="D48" i="36" s="1"/>
  <c r="K20" i="38"/>
  <c r="H48" i="36" s="1"/>
  <c r="L20" i="38"/>
  <c r="I48" i="36" s="1"/>
  <c r="H20" i="38"/>
  <c r="E48" i="36" s="1"/>
  <c r="J20" i="38"/>
  <c r="G48" i="36" s="1"/>
  <c r="N20" i="38"/>
  <c r="K48" i="36" s="1"/>
  <c r="M20" i="38"/>
  <c r="J48" i="36" s="1"/>
  <c r="O20" i="38"/>
  <c r="L48" i="36" s="1"/>
  <c r="P20" i="38"/>
  <c r="M48" i="36" s="1"/>
  <c r="N91" i="36"/>
  <c r="N7" i="36" l="1"/>
  <c r="C24" i="36" l="1"/>
  <c r="N97" i="36" l="1"/>
  <c r="D23" i="19" l="1"/>
  <c r="D29" i="19" l="1"/>
  <c r="I27" i="4" l="1"/>
  <c r="H92" i="7"/>
  <c r="I29" i="1"/>
  <c r="N34" i="1"/>
  <c r="C84" i="36" l="1"/>
  <c r="E33" i="2"/>
  <c r="B54" i="2" s="1"/>
  <c r="E27" i="2"/>
  <c r="B45" i="2" s="1"/>
  <c r="E25" i="2"/>
  <c r="B44" i="2" s="1"/>
  <c r="E32" i="2"/>
  <c r="E16" i="2"/>
  <c r="C102" i="36" l="1"/>
  <c r="E37" i="2"/>
  <c r="H17" i="1"/>
  <c r="D14" i="19" l="1"/>
  <c r="N31" i="19"/>
  <c r="C20" i="44" l="1"/>
  <c r="C19" i="44" s="1"/>
  <c r="D26" i="19"/>
  <c r="D28" i="19" s="1"/>
  <c r="D31" i="19" s="1"/>
  <c r="D13" i="9"/>
  <c r="L47" i="7"/>
  <c r="K43" i="1"/>
  <c r="L43" i="1" s="1"/>
  <c r="K42" i="1"/>
  <c r="L42" i="1" s="1"/>
  <c r="K41" i="1"/>
  <c r="L41" i="1" s="1"/>
  <c r="E13" i="9" l="1"/>
  <c r="J26" i="4" l="1"/>
  <c r="T26" i="4" s="1"/>
  <c r="R11" i="2" l="1"/>
  <c r="C36" i="2" l="1"/>
  <c r="C47" i="7" l="1"/>
  <c r="C48" i="7" s="1"/>
  <c r="D54" i="7" s="1"/>
  <c r="B30" i="7"/>
  <c r="B47" i="7" s="1"/>
  <c r="K31" i="1" l="1"/>
  <c r="K32" i="1"/>
  <c r="R13" i="2"/>
  <c r="R10" i="2"/>
  <c r="R9" i="2"/>
  <c r="R8" i="2"/>
  <c r="R7" i="2"/>
  <c r="M31" i="1" l="1"/>
  <c r="N31" i="1" s="1"/>
  <c r="I36" i="1" s="1"/>
  <c r="K33" i="1"/>
  <c r="M32" i="1" l="1"/>
  <c r="N32" i="1" s="1"/>
  <c r="I37" i="1" s="1"/>
  <c r="M33" i="1"/>
  <c r="N33" i="1" s="1"/>
  <c r="I38" i="1" s="1"/>
  <c r="B53" i="7" l="1"/>
  <c r="G30" i="2"/>
  <c r="F30" i="2"/>
  <c r="D30" i="2"/>
  <c r="C30" i="2"/>
  <c r="E30" i="2"/>
  <c r="B20" i="1" l="1"/>
  <c r="J92" i="36" l="1"/>
  <c r="Q20" i="38"/>
  <c r="J94" i="36" l="1"/>
  <c r="H92" i="36"/>
  <c r="E92" i="36"/>
  <c r="G92" i="36"/>
  <c r="I92" i="36"/>
  <c r="I94" i="36" s="1"/>
  <c r="M92" i="36"/>
  <c r="M94" i="36" s="1"/>
  <c r="L92" i="36"/>
  <c r="K92" i="36"/>
  <c r="K94" i="36" s="1"/>
  <c r="D92" i="36"/>
  <c r="D94" i="36" s="1"/>
  <c r="N90" i="36"/>
  <c r="F92" i="36"/>
  <c r="F94" i="36" s="1"/>
  <c r="G94" i="36" l="1"/>
  <c r="H94" i="36"/>
  <c r="L94" i="36"/>
  <c r="E94" i="36"/>
  <c r="N48" i="36"/>
  <c r="N92" i="36"/>
  <c r="C98" i="36" l="1"/>
  <c r="N94" i="36"/>
  <c r="C15" i="4" l="1"/>
  <c r="C16" i="4" s="1"/>
  <c r="B6" i="1"/>
  <c r="B8" i="1" s="1"/>
  <c r="B10" i="1" s="1"/>
  <c r="B61" i="7"/>
  <c r="C63" i="7" s="1"/>
  <c r="D63" i="7" s="1"/>
  <c r="B13" i="7"/>
  <c r="B14" i="7" s="1"/>
  <c r="D48" i="7"/>
  <c r="E54" i="7" s="1"/>
  <c r="N47" i="7"/>
  <c r="B12" i="7"/>
  <c r="B18" i="7"/>
  <c r="B10" i="7"/>
  <c r="E48" i="7" l="1"/>
  <c r="F54" i="7" s="1"/>
  <c r="C65" i="7"/>
  <c r="J25" i="4" s="1"/>
  <c r="E63" i="7"/>
  <c r="B14" i="1"/>
  <c r="B21" i="7"/>
  <c r="B15" i="7"/>
  <c r="J24" i="4" l="1"/>
  <c r="F48" i="7"/>
  <c r="G54" i="7" s="1"/>
  <c r="D65" i="7"/>
  <c r="K25" i="4" s="1"/>
  <c r="K27" i="4" s="1"/>
  <c r="F63" i="7"/>
  <c r="B19" i="7"/>
  <c r="B23" i="7" s="1"/>
  <c r="B22" i="7"/>
  <c r="G48" i="7" l="1"/>
  <c r="H54" i="7" s="1"/>
  <c r="G63" i="7"/>
  <c r="E65" i="7"/>
  <c r="L25" i="4" s="1"/>
  <c r="L27" i="4" s="1"/>
  <c r="B24" i="7"/>
  <c r="H48" i="7"/>
  <c r="I54" i="7" s="1"/>
  <c r="B29" i="7" l="1"/>
  <c r="B33" i="7" s="1"/>
  <c r="B35" i="7" s="1"/>
  <c r="B5" i="7"/>
  <c r="B6" i="7" s="1"/>
  <c r="H63" i="7"/>
  <c r="F65" i="7"/>
  <c r="M25" i="4" s="1"/>
  <c r="M27" i="4" s="1"/>
  <c r="I48" i="7"/>
  <c r="J54" i="7" s="1"/>
  <c r="I63" i="7" l="1"/>
  <c r="G65" i="7"/>
  <c r="N25" i="4" s="1"/>
  <c r="N27" i="4" s="1"/>
  <c r="J48" i="7"/>
  <c r="K54" i="7" s="1"/>
  <c r="H65" i="7" l="1"/>
  <c r="O25" i="4" s="1"/>
  <c r="O27" i="4" s="1"/>
  <c r="J63" i="7"/>
  <c r="K48" i="7"/>
  <c r="L54" i="7" s="1"/>
  <c r="K63" i="7" l="1"/>
  <c r="I65" i="7"/>
  <c r="P25" i="4" s="1"/>
  <c r="P27" i="4" s="1"/>
  <c r="L48" i="7"/>
  <c r="M54" i="7" s="1"/>
  <c r="L63" i="7" l="1"/>
  <c r="J65" i="7"/>
  <c r="Q25" i="4" s="1"/>
  <c r="Q27" i="4" s="1"/>
  <c r="M48" i="7"/>
  <c r="M63" i="7" l="1"/>
  <c r="L65" i="7" s="1"/>
  <c r="S25" i="4" s="1"/>
  <c r="K65" i="7"/>
  <c r="S27" i="4" l="1"/>
  <c r="R25" i="4"/>
  <c r="R27" i="4" s="1"/>
  <c r="N65" i="7"/>
  <c r="B67" i="7" s="1"/>
  <c r="J6" i="4"/>
  <c r="D7" i="4"/>
  <c r="C7" i="4"/>
  <c r="H8" i="4" s="1"/>
  <c r="E6" i="4"/>
  <c r="E5" i="4"/>
  <c r="I29" i="2"/>
  <c r="H29" i="2"/>
  <c r="I28" i="2"/>
  <c r="H28" i="2"/>
  <c r="I27" i="2"/>
  <c r="H27" i="2"/>
  <c r="I26" i="2"/>
  <c r="H26" i="2"/>
  <c r="I25" i="2"/>
  <c r="H25" i="2"/>
  <c r="I24" i="2"/>
  <c r="H24" i="2"/>
  <c r="Q14" i="2"/>
  <c r="P14" i="2"/>
  <c r="O14" i="2"/>
  <c r="M14" i="2"/>
  <c r="L14" i="2"/>
  <c r="K14" i="2"/>
  <c r="J14" i="2"/>
  <c r="I14" i="2"/>
  <c r="H14" i="2"/>
  <c r="G14" i="2"/>
  <c r="F14" i="2"/>
  <c r="E14" i="2"/>
  <c r="D14" i="2"/>
  <c r="C14" i="2"/>
  <c r="S13" i="2"/>
  <c r="S12" i="2"/>
  <c r="N12" i="2"/>
  <c r="R12" i="2" s="1"/>
  <c r="S11" i="2"/>
  <c r="S10" i="2"/>
  <c r="S9" i="2"/>
  <c r="S8" i="2"/>
  <c r="S7" i="2"/>
  <c r="J25" i="2" l="1"/>
  <c r="T25" i="4"/>
  <c r="C12" i="13"/>
  <c r="P21" i="2"/>
  <c r="B43" i="2"/>
  <c r="B47" i="2" s="1"/>
  <c r="S21" i="2"/>
  <c r="S22" i="2" s="1"/>
  <c r="E17" i="2"/>
  <c r="J29" i="2"/>
  <c r="J27" i="2"/>
  <c r="J24" i="2"/>
  <c r="J28" i="2"/>
  <c r="J26" i="2"/>
  <c r="K6" i="4"/>
  <c r="E7" i="4"/>
  <c r="S14" i="2"/>
  <c r="T9" i="2"/>
  <c r="H30" i="2"/>
  <c r="T13" i="2"/>
  <c r="I30" i="2"/>
  <c r="I32" i="2" s="1"/>
  <c r="R14" i="2"/>
  <c r="T8" i="2"/>
  <c r="T7" i="2"/>
  <c r="T12" i="2"/>
  <c r="N14" i="2"/>
  <c r="P20" i="2" s="1"/>
  <c r="P22" i="2" s="1"/>
  <c r="P24" i="2" s="1"/>
  <c r="B23" i="1" s="1"/>
  <c r="B29" i="1" s="1"/>
  <c r="B53" i="2" l="1"/>
  <c r="B56" i="2" s="1"/>
  <c r="B19" i="1"/>
  <c r="B21" i="1" s="1"/>
  <c r="E36" i="2"/>
  <c r="E34" i="2"/>
  <c r="S18" i="2"/>
  <c r="S24" i="2"/>
  <c r="I7" i="4"/>
  <c r="B24" i="1"/>
  <c r="B30" i="1"/>
  <c r="J30" i="2"/>
  <c r="B32" i="1" s="1"/>
  <c r="B35" i="1" s="1"/>
  <c r="B33" i="1"/>
  <c r="L6" i="4"/>
  <c r="T14" i="2"/>
  <c r="J7" i="4" l="1"/>
  <c r="J8" i="4" s="1"/>
  <c r="J18" i="4" s="1"/>
  <c r="L7" i="4"/>
  <c r="L8" i="4" s="1"/>
  <c r="L18" i="4" s="1"/>
  <c r="K7" i="4"/>
  <c r="K8" i="4" s="1"/>
  <c r="K18" i="4" s="1"/>
  <c r="B36" i="1"/>
  <c r="B41" i="7"/>
  <c r="B42" i="7"/>
  <c r="D41" i="7"/>
  <c r="M6" i="4"/>
  <c r="M7" i="4" s="1"/>
  <c r="M8" i="4" s="1"/>
  <c r="M18" i="4" s="1"/>
  <c r="L51" i="7" l="1"/>
  <c r="D51" i="7"/>
  <c r="K51" i="7"/>
  <c r="F51" i="7"/>
  <c r="J51" i="7"/>
  <c r="I51" i="7"/>
  <c r="H51" i="7"/>
  <c r="G51" i="7"/>
  <c r="E51" i="7"/>
  <c r="M51" i="7"/>
  <c r="D42" i="7"/>
  <c r="B38" i="1"/>
  <c r="K9" i="4" s="1"/>
  <c r="N6" i="4"/>
  <c r="N7" i="4" s="1"/>
  <c r="N8" i="4" s="1"/>
  <c r="N18" i="4" s="1"/>
  <c r="J53" i="7" l="1"/>
  <c r="J55" i="7" s="1"/>
  <c r="P10" i="4" s="1"/>
  <c r="I53" i="7"/>
  <c r="I55" i="7" s="1"/>
  <c r="O10" i="4" s="1"/>
  <c r="E53" i="7"/>
  <c r="E55" i="7" s="1"/>
  <c r="K10" i="4" s="1"/>
  <c r="K53" i="7"/>
  <c r="K55" i="7" s="1"/>
  <c r="Q10" i="4" s="1"/>
  <c r="H53" i="7"/>
  <c r="H55" i="7" s="1"/>
  <c r="N10" i="4" s="1"/>
  <c r="F53" i="7"/>
  <c r="F55" i="7" s="1"/>
  <c r="L10" i="4" s="1"/>
  <c r="M53" i="7"/>
  <c r="M55" i="7" s="1"/>
  <c r="S10" i="4" s="1"/>
  <c r="D53" i="7"/>
  <c r="D55" i="7" s="1"/>
  <c r="G53" i="7"/>
  <c r="G55" i="7" s="1"/>
  <c r="M10" i="4" s="1"/>
  <c r="L53" i="7"/>
  <c r="L55" i="7" s="1"/>
  <c r="R10" i="4" s="1"/>
  <c r="L9" i="4"/>
  <c r="B42" i="1"/>
  <c r="O6" i="4"/>
  <c r="O7" i="4" s="1"/>
  <c r="O8" i="4" s="1"/>
  <c r="O18" i="4" s="1"/>
  <c r="M9" i="4" l="1"/>
  <c r="B57" i="7"/>
  <c r="P6" i="4"/>
  <c r="P7" i="4" s="1"/>
  <c r="P8" i="4" s="1"/>
  <c r="P18" i="4" s="1"/>
  <c r="N9" i="4" l="1"/>
  <c r="T10" i="4"/>
  <c r="C7" i="13" s="1"/>
  <c r="Q6" i="4"/>
  <c r="Q7" i="4" s="1"/>
  <c r="Q8" i="4" s="1"/>
  <c r="Q18" i="4" s="1"/>
  <c r="O9" i="4" l="1"/>
  <c r="R6" i="4"/>
  <c r="R7" i="4" s="1"/>
  <c r="R8" i="4" s="1"/>
  <c r="R18" i="4" s="1"/>
  <c r="P9" i="4" l="1"/>
  <c r="S6" i="4"/>
  <c r="S7" i="4" s="1"/>
  <c r="S8" i="4" s="1"/>
  <c r="S18" i="4" l="1"/>
  <c r="T18" i="4" s="1"/>
  <c r="T8" i="4"/>
  <c r="C9" i="13" s="1"/>
  <c r="Q9" i="4"/>
  <c r="R9" i="4" l="1"/>
  <c r="S9" i="4" l="1"/>
  <c r="T9" i="4" l="1"/>
  <c r="C6" i="13" l="1"/>
  <c r="F9" i="8"/>
  <c r="F10" i="8" s="1"/>
  <c r="H11" i="4" l="1"/>
  <c r="J12" i="4" l="1"/>
  <c r="J17" i="4" s="1"/>
  <c r="J19" i="4" s="1"/>
  <c r="J30" i="4" s="1"/>
  <c r="D4" i="44" s="1"/>
  <c r="K11" i="4"/>
  <c r="K12" i="4" s="1"/>
  <c r="K17" i="4" s="1"/>
  <c r="K19" i="4" s="1"/>
  <c r="K30" i="4" s="1"/>
  <c r="E4" i="44" s="1"/>
  <c r="E10" i="36" l="1"/>
  <c r="E81" i="36" s="1"/>
  <c r="E84" i="36" s="1"/>
  <c r="E102" i="36" s="1"/>
  <c r="E14" i="44"/>
  <c r="D10" i="36"/>
  <c r="D81" i="36" s="1"/>
  <c r="D84" i="36" s="1"/>
  <c r="D14" i="44"/>
  <c r="L11" i="4"/>
  <c r="L12" i="4" s="1"/>
  <c r="L17" i="4" s="1"/>
  <c r="L19" i="4" s="1"/>
  <c r="L30" i="4" s="1"/>
  <c r="F4" i="44" s="1"/>
  <c r="M11" i="4"/>
  <c r="M12" i="4" s="1"/>
  <c r="M17" i="4" s="1"/>
  <c r="M19" i="4" s="1"/>
  <c r="M30" i="4" s="1"/>
  <c r="G4" i="44" s="1"/>
  <c r="F10" i="36" l="1"/>
  <c r="F81" i="36" s="1"/>
  <c r="F84" i="36" s="1"/>
  <c r="F102" i="36" s="1"/>
  <c r="F14" i="44"/>
  <c r="G10" i="36"/>
  <c r="G81" i="36" s="1"/>
  <c r="G84" i="36" s="1"/>
  <c r="G102" i="36" s="1"/>
  <c r="G14" i="44"/>
  <c r="N11" i="4"/>
  <c r="N12" i="4" s="1"/>
  <c r="N17" i="4" s="1"/>
  <c r="N19" i="4" s="1"/>
  <c r="N30" i="4" s="1"/>
  <c r="H4" i="44" s="1"/>
  <c r="H10" i="36" l="1"/>
  <c r="H81" i="36" s="1"/>
  <c r="H84" i="36" s="1"/>
  <c r="H102" i="36" s="1"/>
  <c r="H14" i="44"/>
  <c r="D102" i="36"/>
  <c r="O11" i="4"/>
  <c r="O12" i="4" s="1"/>
  <c r="O17" i="4" s="1"/>
  <c r="O19" i="4" s="1"/>
  <c r="O30" i="4" s="1"/>
  <c r="I4" i="44" l="1"/>
  <c r="P11" i="4"/>
  <c r="P12" i="4" s="1"/>
  <c r="P17" i="4" s="1"/>
  <c r="P19" i="4" s="1"/>
  <c r="P30" i="4" s="1"/>
  <c r="J4" i="44" s="1"/>
  <c r="J10" i="36" l="1"/>
  <c r="J81" i="36" s="1"/>
  <c r="J84" i="36" s="1"/>
  <c r="J14" i="44"/>
  <c r="I10" i="36"/>
  <c r="I81" i="36" s="1"/>
  <c r="I84" i="36" s="1"/>
  <c r="I102" i="36" s="1"/>
  <c r="I14" i="44"/>
  <c r="Q11" i="4"/>
  <c r="Q12" i="4" s="1"/>
  <c r="Q17" i="4" s="1"/>
  <c r="Q19" i="4" s="1"/>
  <c r="Q30" i="4" s="1"/>
  <c r="K4" i="44" s="1"/>
  <c r="K10" i="36" l="1"/>
  <c r="K81" i="36" s="1"/>
  <c r="K84" i="36" s="1"/>
  <c r="K102" i="36" s="1"/>
  <c r="K14" i="44"/>
  <c r="J102" i="36"/>
  <c r="R11" i="4"/>
  <c r="R12" i="4" s="1"/>
  <c r="R17" i="4" s="1"/>
  <c r="R19" i="4" s="1"/>
  <c r="R30" i="4" s="1"/>
  <c r="L4" i="44" s="1"/>
  <c r="L10" i="36" l="1"/>
  <c r="L81" i="36" s="1"/>
  <c r="L84" i="36" s="1"/>
  <c r="L102" i="36" s="1"/>
  <c r="L14" i="44"/>
  <c r="S11" i="4"/>
  <c r="S12" i="4" s="1"/>
  <c r="S17" i="4" s="1"/>
  <c r="T17" i="4" l="1"/>
  <c r="T19" i="4" s="1"/>
  <c r="S19" i="4"/>
  <c r="S30" i="4" s="1"/>
  <c r="M4" i="44" s="1"/>
  <c r="T11" i="4"/>
  <c r="T12" i="4" s="1"/>
  <c r="M10" i="36" l="1"/>
  <c r="M81" i="36" s="1"/>
  <c r="M84" i="36" s="1"/>
  <c r="C85" i="36" s="1"/>
  <c r="M14" i="44"/>
  <c r="N4" i="44"/>
  <c r="C18" i="44"/>
  <c r="T30" i="4"/>
  <c r="D20" i="13" s="1"/>
  <c r="C11" i="13"/>
  <c r="D13" i="13" s="1"/>
  <c r="C8" i="13"/>
  <c r="C10" i="13" s="1"/>
  <c r="M102" i="36" l="1"/>
  <c r="N10" i="36"/>
  <c r="C22" i="44"/>
  <c r="N14" i="44"/>
  <c r="C15" i="44"/>
  <c r="E24" i="27" s="1"/>
  <c r="C21" i="44"/>
  <c r="C13" i="36" l="1"/>
  <c r="D8" i="13"/>
  <c r="N81" i="36" l="1"/>
  <c r="N84" i="36" s="1"/>
  <c r="C23" i="36"/>
  <c r="C25" i="36" s="1"/>
  <c r="C26" i="36" s="1"/>
  <c r="C19" i="36"/>
  <c r="D6" i="13"/>
  <c r="D7" i="13"/>
  <c r="D9" i="13"/>
  <c r="D10" i="13" l="1"/>
  <c r="N102" i="36" l="1"/>
  <c r="C30" i="36" l="1"/>
  <c r="D30" i="36" s="1"/>
  <c r="D33" i="36" s="1"/>
  <c r="E34" i="43"/>
  <c r="F32" i="43" s="1"/>
  <c r="C33" i="36" l="1"/>
  <c r="F31" i="43"/>
  <c r="G31" i="43" s="1"/>
  <c r="F33" i="43"/>
  <c r="H6" i="36" l="1"/>
  <c r="K21" i="38" s="1"/>
  <c r="H49" i="36" s="1"/>
  <c r="C6" i="36"/>
  <c r="E6" i="36"/>
  <c r="H21" i="38" s="1"/>
  <c r="E49" i="36" s="1"/>
  <c r="K6" i="36"/>
  <c r="N21" i="38" s="1"/>
  <c r="K49" i="36" s="1"/>
  <c r="L6" i="36"/>
  <c r="O21" i="38" s="1"/>
  <c r="L49" i="36" s="1"/>
  <c r="J6" i="36"/>
  <c r="M21" i="38" s="1"/>
  <c r="J49" i="36" s="1"/>
  <c r="M6" i="36"/>
  <c r="P21" i="38" s="1"/>
  <c r="M49" i="36" s="1"/>
  <c r="D6" i="36"/>
  <c r="G21" i="38" s="1"/>
  <c r="D49" i="36" s="1"/>
  <c r="G6" i="36"/>
  <c r="J21" i="38" s="1"/>
  <c r="G49" i="36" s="1"/>
  <c r="F6" i="36"/>
  <c r="I21" i="38" s="1"/>
  <c r="F49" i="36" s="1"/>
  <c r="I6" i="36"/>
  <c r="L21" i="38" s="1"/>
  <c r="I49" i="36" s="1"/>
  <c r="M5" i="36"/>
  <c r="D5" i="36"/>
  <c r="E5" i="36"/>
  <c r="K5" i="36"/>
  <c r="J5" i="36"/>
  <c r="H5" i="36"/>
  <c r="F5" i="36"/>
  <c r="G5" i="36"/>
  <c r="L5" i="36"/>
  <c r="I5" i="36"/>
  <c r="C5" i="36"/>
  <c r="F21" i="38"/>
  <c r="C49" i="36" s="1"/>
  <c r="N6" i="36"/>
  <c r="K60" i="36" l="1"/>
  <c r="N11" i="38" s="1"/>
  <c r="N19" i="38"/>
  <c r="K47" i="36" s="1"/>
  <c r="K8" i="36"/>
  <c r="K12" i="36" s="1"/>
  <c r="G8" i="36"/>
  <c r="G12" i="36" s="1"/>
  <c r="G60" i="36"/>
  <c r="J11" i="38" s="1"/>
  <c r="J19" i="38"/>
  <c r="G47" i="36" s="1"/>
  <c r="N5" i="36"/>
  <c r="C8" i="36"/>
  <c r="C60" i="36"/>
  <c r="F19" i="38"/>
  <c r="C47" i="36" s="1"/>
  <c r="F8" i="36"/>
  <c r="F12" i="36" s="1"/>
  <c r="F60" i="36"/>
  <c r="I11" i="38" s="1"/>
  <c r="I19" i="38"/>
  <c r="F47" i="36" s="1"/>
  <c r="J60" i="36"/>
  <c r="M11" i="38" s="1"/>
  <c r="J8" i="36"/>
  <c r="J12" i="36" s="1"/>
  <c r="M19" i="38"/>
  <c r="J47" i="36" s="1"/>
  <c r="L19" i="38"/>
  <c r="I47" i="36" s="1"/>
  <c r="I8" i="36"/>
  <c r="I12" i="36" s="1"/>
  <c r="I60" i="36"/>
  <c r="L11" i="38" s="1"/>
  <c r="G19" i="38"/>
  <c r="D47" i="36" s="1"/>
  <c r="D60" i="36"/>
  <c r="G11" i="38" s="1"/>
  <c r="D8" i="36"/>
  <c r="H8" i="36"/>
  <c r="H12" i="36" s="1"/>
  <c r="H60" i="36"/>
  <c r="K11" i="38" s="1"/>
  <c r="K19" i="38"/>
  <c r="H47" i="36" s="1"/>
  <c r="N49" i="36"/>
  <c r="Q21" i="38"/>
  <c r="E60" i="36"/>
  <c r="H11" i="38" s="1"/>
  <c r="H19" i="38"/>
  <c r="E47" i="36" s="1"/>
  <c r="E8" i="36"/>
  <c r="E12" i="36" s="1"/>
  <c r="O19" i="38"/>
  <c r="L47" i="36" s="1"/>
  <c r="L8" i="36"/>
  <c r="L12" i="36" s="1"/>
  <c r="L60" i="36"/>
  <c r="O11" i="38" s="1"/>
  <c r="M60" i="36"/>
  <c r="P11" i="38" s="1"/>
  <c r="P19" i="38"/>
  <c r="M47" i="36" s="1"/>
  <c r="M8" i="36"/>
  <c r="M12" i="36" s="1"/>
  <c r="H65" i="36" l="1"/>
  <c r="K13" i="38"/>
  <c r="K15" i="38" s="1"/>
  <c r="J51" i="36"/>
  <c r="M22" i="38"/>
  <c r="C12" i="36"/>
  <c r="N8" i="36"/>
  <c r="N12" i="36" s="1"/>
  <c r="M13" i="38"/>
  <c r="M15" i="38" s="1"/>
  <c r="M28" i="38" s="1"/>
  <c r="M29" i="38" s="1"/>
  <c r="M30" i="38" s="1"/>
  <c r="J65" i="36"/>
  <c r="G51" i="36"/>
  <c r="J22" i="38"/>
  <c r="H22" i="38"/>
  <c r="E51" i="36"/>
  <c r="D65" i="36"/>
  <c r="D69" i="36" s="1"/>
  <c r="G13" i="38"/>
  <c r="G15" i="38" s="1"/>
  <c r="F51" i="36"/>
  <c r="I22" i="38"/>
  <c r="J13" i="38"/>
  <c r="J15" i="38" s="1"/>
  <c r="G65" i="36"/>
  <c r="E65" i="36"/>
  <c r="H13" i="38"/>
  <c r="H15" i="38" s="1"/>
  <c r="G22" i="38"/>
  <c r="D51" i="36"/>
  <c r="F65" i="36"/>
  <c r="I13" i="38"/>
  <c r="I15" i="38" s="1"/>
  <c r="M51" i="36"/>
  <c r="P22" i="38"/>
  <c r="I65" i="36"/>
  <c r="L13" i="38"/>
  <c r="L15" i="38" s="1"/>
  <c r="F22" i="38"/>
  <c r="Q19" i="38"/>
  <c r="K51" i="36"/>
  <c r="N22" i="38"/>
  <c r="O22" i="38"/>
  <c r="L51" i="36"/>
  <c r="C20" i="36"/>
  <c r="C21" i="36" s="1"/>
  <c r="D12" i="36"/>
  <c r="P13" i="38"/>
  <c r="P15" i="38" s="1"/>
  <c r="P28" i="38" s="1"/>
  <c r="P29" i="38" s="1"/>
  <c r="P30" i="38" s="1"/>
  <c r="M65" i="36"/>
  <c r="O13" i="38"/>
  <c r="O15" i="38" s="1"/>
  <c r="L65" i="36"/>
  <c r="H51" i="36"/>
  <c r="K22" i="38"/>
  <c r="L22" i="38"/>
  <c r="I51" i="36"/>
  <c r="C65" i="36"/>
  <c r="F11" i="38"/>
  <c r="N60" i="36"/>
  <c r="N13" i="38"/>
  <c r="N15" i="38" s="1"/>
  <c r="K65" i="36"/>
  <c r="H28" i="38" l="1"/>
  <c r="H29" i="38" s="1"/>
  <c r="H30" i="38" s="1"/>
  <c r="H32" i="38" s="1"/>
  <c r="O28" i="38"/>
  <c r="O29" i="38" s="1"/>
  <c r="O30" i="38" s="1"/>
  <c r="O32" i="38" s="1"/>
  <c r="O33" i="38" s="1"/>
  <c r="O34" i="38" s="1"/>
  <c r="O35" i="38" s="1"/>
  <c r="L67" i="36" s="1"/>
  <c r="L69" i="36" s="1"/>
  <c r="L73" i="36" s="1"/>
  <c r="I28" i="38"/>
  <c r="I29" i="38" s="1"/>
  <c r="I30" i="38" s="1"/>
  <c r="I32" i="38" s="1"/>
  <c r="I33" i="38" s="1"/>
  <c r="I34" i="38" s="1"/>
  <c r="I35" i="38" s="1"/>
  <c r="F67" i="36" s="1"/>
  <c r="F69" i="36" s="1"/>
  <c r="F73" i="36" s="1"/>
  <c r="N28" i="38"/>
  <c r="N29" i="38" s="1"/>
  <c r="N30" i="38" s="1"/>
  <c r="N32" i="38" s="1"/>
  <c r="N33" i="38" s="1"/>
  <c r="N34" i="38" s="1"/>
  <c r="N35" i="38" s="1"/>
  <c r="K67" i="36" s="1"/>
  <c r="K69" i="36" s="1"/>
  <c r="K73" i="36" s="1"/>
  <c r="J28" i="38"/>
  <c r="J29" i="38" s="1"/>
  <c r="J30" i="38" s="1"/>
  <c r="J32" i="38" s="1"/>
  <c r="J33" i="38" s="1"/>
  <c r="J34" i="38" s="1"/>
  <c r="J35" i="38" s="1"/>
  <c r="G67" i="36" s="1"/>
  <c r="G69" i="36" s="1"/>
  <c r="G73" i="36" s="1"/>
  <c r="G28" i="38"/>
  <c r="G29" i="38" s="1"/>
  <c r="L28" i="38"/>
  <c r="L29" i="38" s="1"/>
  <c r="L30" i="38" s="1"/>
  <c r="L32" i="38" s="1"/>
  <c r="L33" i="38" s="1"/>
  <c r="L34" i="38" s="1"/>
  <c r="L35" i="38" s="1"/>
  <c r="I67" i="36" s="1"/>
  <c r="I69" i="36" s="1"/>
  <c r="I73" i="36" s="1"/>
  <c r="M32" i="38"/>
  <c r="M33" i="38" s="1"/>
  <c r="M34" i="38" s="1"/>
  <c r="M35" i="38" s="1"/>
  <c r="J67" i="36" s="1"/>
  <c r="J69" i="36" s="1"/>
  <c r="J73" i="36" s="1"/>
  <c r="N65" i="36"/>
  <c r="C69" i="36"/>
  <c r="D73" i="36"/>
  <c r="F13" i="38"/>
  <c r="Q11" i="38"/>
  <c r="Q22" i="38"/>
  <c r="P32" i="38"/>
  <c r="P33" i="38" s="1"/>
  <c r="P34" i="38" s="1"/>
  <c r="P35" i="38" s="1"/>
  <c r="M67" i="36" s="1"/>
  <c r="M69" i="36" s="1"/>
  <c r="M73" i="36" s="1"/>
  <c r="C51" i="36"/>
  <c r="C35" i="36" s="1"/>
  <c r="N47" i="36"/>
  <c r="N51" i="36" s="1"/>
  <c r="K28" i="38"/>
  <c r="K29" i="38" s="1"/>
  <c r="K30" i="38" s="1"/>
  <c r="Q30" i="38" l="1"/>
  <c r="C34" i="36"/>
  <c r="H33" i="38"/>
  <c r="C73" i="36"/>
  <c r="F15" i="38"/>
  <c r="Q13" i="38"/>
  <c r="K32" i="38"/>
  <c r="Q32" i="38" s="1"/>
  <c r="H34" i="38" l="1"/>
  <c r="K33" i="38"/>
  <c r="K34" i="38" s="1"/>
  <c r="K35" i="38" s="1"/>
  <c r="H67" i="36" s="1"/>
  <c r="H69" i="36" s="1"/>
  <c r="H73" i="36" s="1"/>
  <c r="F28" i="38"/>
  <c r="Q15" i="38"/>
  <c r="H35" i="38" l="1"/>
  <c r="Q34" i="38"/>
  <c r="Q28" i="38"/>
  <c r="F29" i="38"/>
  <c r="Q29" i="38" s="1"/>
  <c r="Q33" i="38"/>
  <c r="E67" i="36" l="1"/>
  <c r="Q35" i="38"/>
  <c r="N67" i="36" l="1"/>
  <c r="E69" i="36"/>
  <c r="C71" i="36" l="1"/>
  <c r="E73" i="36"/>
  <c r="N69" i="36"/>
  <c r="C36" i="36" l="1"/>
  <c r="N73" i="36"/>
  <c r="C37" i="36"/>
  <c r="N71" i="36"/>
</calcChain>
</file>

<file path=xl/sharedStrings.xml><?xml version="1.0" encoding="utf-8"?>
<sst xmlns="http://schemas.openxmlformats.org/spreadsheetml/2006/main" count="645" uniqueCount="418">
  <si>
    <t>Numero de usuarios comerciales e industriales</t>
  </si>
  <si>
    <t>Total de usuarios</t>
  </si>
  <si>
    <t>0&lt;x&lt;=10</t>
  </si>
  <si>
    <t>10&lt;x&lt;=20</t>
  </si>
  <si>
    <t>20&lt;x&lt;=30</t>
  </si>
  <si>
    <t>30&lt;x&lt;=40</t>
  </si>
  <si>
    <t>40&lt;x&lt;=50</t>
  </si>
  <si>
    <t>50&lt;x&lt;=60</t>
  </si>
  <si>
    <t>&gt;60</t>
  </si>
  <si>
    <t>Totales</t>
  </si>
  <si>
    <t># Cuentas</t>
  </si>
  <si>
    <t>Consumo</t>
  </si>
  <si>
    <t>#cuentas</t>
  </si>
  <si>
    <t>Residencial</t>
  </si>
  <si>
    <t>Residencial Directo</t>
  </si>
  <si>
    <t>Residencial Exonerado</t>
  </si>
  <si>
    <t>Residencial Exonerado Directo</t>
  </si>
  <si>
    <t>Discapacidad</t>
  </si>
  <si>
    <t>Tercera Edad</t>
  </si>
  <si>
    <t>Tercera Edad Directo</t>
  </si>
  <si>
    <t>0&lt;x&lt;=40</t>
  </si>
  <si>
    <t>&gt;40</t>
  </si>
  <si>
    <t>Comercial</t>
  </si>
  <si>
    <t>Comercial Directo</t>
  </si>
  <si>
    <t>Industrial</t>
  </si>
  <si>
    <t>Industrial Directo</t>
  </si>
  <si>
    <t>Macromediciones</t>
  </si>
  <si>
    <t>Tanquero</t>
  </si>
  <si>
    <t>Consumo promedio</t>
  </si>
  <si>
    <t>(m3/mes)</t>
  </si>
  <si>
    <t>Volumen mensual promedio consumido categorial residencial</t>
  </si>
  <si>
    <t>m3/mes</t>
  </si>
  <si>
    <t>US/mes</t>
  </si>
  <si>
    <t>Incremento total anual</t>
  </si>
  <si>
    <t>La inversion se hace desde el año cero</t>
  </si>
  <si>
    <t>Porcentaje poblacion urbana</t>
  </si>
  <si>
    <t>Porcentaje poblacion rural</t>
  </si>
  <si>
    <t>Poblacion Total (2020)</t>
  </si>
  <si>
    <t>Poblacio urbana</t>
  </si>
  <si>
    <t>Poblacion rural</t>
  </si>
  <si>
    <t>Inversión micromedidores</t>
  </si>
  <si>
    <t>Costo promedio micromedidor</t>
  </si>
  <si>
    <t>Inflación proyectada</t>
  </si>
  <si>
    <t>Ingreso facturado en agua al 30 de septiembre del 2019</t>
  </si>
  <si>
    <t>Ingreso facturado en alcantarillado al 30 de septiembre del 2019</t>
  </si>
  <si>
    <t>Total</t>
  </si>
  <si>
    <t>% Numero de cuentas residenciales</t>
  </si>
  <si>
    <t>Total Entradas de Efectivo por Ingresos Incrementales</t>
  </si>
  <si>
    <t>Numero acumulado de nuevos micromedidores</t>
  </si>
  <si>
    <t>Total de Hogares por conexion (3,78 personas por hogar)</t>
  </si>
  <si>
    <t>Numero de usuarios proyectado</t>
  </si>
  <si>
    <t>Nuevas conexiones presupuesto EMAPAR año 2020</t>
  </si>
  <si>
    <t>Total de conexiones (3,78 personas por hogar)</t>
  </si>
  <si>
    <t>INEC</t>
  </si>
  <si>
    <t>Numero de conexiones requeridas al 2030</t>
  </si>
  <si>
    <t>Costo promedio de medidores</t>
  </si>
  <si>
    <t>Linea base número de cuentas a septiembre 2019</t>
  </si>
  <si>
    <t xml:space="preserve">Objetivo número de cuentas  al 2030 </t>
  </si>
  <si>
    <t>Proyección Poblacional</t>
  </si>
  <si>
    <t>Numero de usuarios estimados 2020</t>
  </si>
  <si>
    <t>Catastro 30/09/2019</t>
  </si>
  <si>
    <t xml:space="preserve">Poblacion Total  proyectada (2030) Tasa de crecimiento 0,94 </t>
  </si>
  <si>
    <t>Numero de usuarios proyectado al 98% de cobertura</t>
  </si>
  <si>
    <t xml:space="preserve">Proyeccion Poblacional </t>
  </si>
  <si>
    <t>Número de conexiones requeridas</t>
  </si>
  <si>
    <t>Número de conexiones requeridas al 2030</t>
  </si>
  <si>
    <t>Número de conexiones requeridas para la Alianza (a partir del 2021)</t>
  </si>
  <si>
    <t>Total de la inversión</t>
  </si>
  <si>
    <t>Calculo del Ingreso Incremental por cobertura</t>
  </si>
  <si>
    <t>CONCEPTO</t>
  </si>
  <si>
    <t>Consumo promedio año 2019</t>
  </si>
  <si>
    <t>Total Inversion Anual</t>
  </si>
  <si>
    <t>Total Ingreso Incremental</t>
  </si>
  <si>
    <t>Costo promedio proyectado medidor ajustado inflación</t>
  </si>
  <si>
    <t>Total cuentas que facturan cero</t>
  </si>
  <si>
    <t>Numero de cuentas estimadas que disponen micromedidor en buenas condiciones</t>
  </si>
  <si>
    <t>Indicador de eficiencia del sistema de micromedicion (Informe ARCA)</t>
  </si>
  <si>
    <t>Cobertura de micromedición (Informe ARCA)</t>
  </si>
  <si>
    <t xml:space="preserve">Numero de cuentas estimadas que  disponen micromedidor </t>
  </si>
  <si>
    <t>Numero de medidores requeridos en el primer año de Alianza, para completar el 100% de la cobertura actual</t>
  </si>
  <si>
    <t>Costo promedio del medidor</t>
  </si>
  <si>
    <t>Total de la Inversión</t>
  </si>
  <si>
    <t>Cálculo del Ingreso Incremental</t>
  </si>
  <si>
    <t>CUENTAS QUE FACTURAN CERO</t>
  </si>
  <si>
    <t>#cuentas factura cero</t>
  </si>
  <si>
    <t>Recaudado (USD)</t>
  </si>
  <si>
    <t>Facturado (USD)</t>
  </si>
  <si>
    <t>% Eficiencia Recaudación</t>
  </si>
  <si>
    <t>No.</t>
  </si>
  <si>
    <t>Cálculo del Ingreso Incremental por Eficiencia en la Recaudación</t>
  </si>
  <si>
    <t>Ingreso Incremental por cuentas facturación cero</t>
  </si>
  <si>
    <t>Ingreso Incremental por cambio metodología tarifaria ARCA</t>
  </si>
  <si>
    <t>INVERSIONES ASOCIADAS</t>
  </si>
  <si>
    <t>Monto USD</t>
  </si>
  <si>
    <t>1.  CALCULO INGRESO INCREMENTAL POR FACTURACION CERO</t>
  </si>
  <si>
    <t>2.  CALCULO INGRESO INCREMENTAL POR COBERTURA</t>
  </si>
  <si>
    <t>3.  CALCULO INGRESO INCREMENTAL POR EFICIENCIA EN LA RECAUDACIÓN</t>
  </si>
  <si>
    <t>4.  CALCULO INGRESO INCREMENTAL POR CAMBIO METODOLOGICO TARIFA ARCA</t>
  </si>
  <si>
    <t>5.  CALCULO INGRESO INCREMENTAL POR REDUCCION SUBSIDIOS TARIFA</t>
  </si>
  <si>
    <t>Calcular cuanto da la reducción al 10%, al 15% y al 20%</t>
  </si>
  <si>
    <t xml:space="preserve"> CALCULO DE INGRESOS INCREMENTALES </t>
  </si>
  <si>
    <t>%</t>
  </si>
  <si>
    <t>Ingreso Incremental por Cobertura</t>
  </si>
  <si>
    <t>DURANTE EL PERIODO DE LA ALIANZA ESTRATEGICA</t>
  </si>
  <si>
    <t>ACTIVIDAD</t>
  </si>
  <si>
    <t>DESCRIPCION</t>
  </si>
  <si>
    <t>COSTO NETO</t>
  </si>
  <si>
    <t>IVA</t>
  </si>
  <si>
    <t>COSTO TOTAL</t>
  </si>
  <si>
    <t>Operación y Mantenimiento TOTAL</t>
  </si>
  <si>
    <t>Estudios de Automatización de Registros de Cantidad y Calidad en los Pozos Existentes, Conducciones y Reservas Existentes</t>
  </si>
  <si>
    <t>Pérdidas Técnicas</t>
  </si>
  <si>
    <t>Repotenciación del Programa de Agua No Contabilizada (regulación de presiones, control activo de fugas, - INVERSION DE EQUIPOS)</t>
  </si>
  <si>
    <t>Estudios de Modelación, Sectorización y Telemetría de la Red de Agua Potable</t>
  </si>
  <si>
    <t>2.8</t>
  </si>
  <si>
    <t>Implementación de Telemería y Telecontrol de la red de distribución</t>
  </si>
  <si>
    <t>Complementación de SIG, Catastro Técnico (Infraestructura Agua y Alcantarillado)</t>
  </si>
  <si>
    <t>2.10</t>
  </si>
  <si>
    <t xml:space="preserve">Proyecto de INCREMENTO del parque de micromedidores de la ciudad POR INCREMENTO DE COBERTURA </t>
  </si>
  <si>
    <t>Facturacion - Pérdidas Comerciales</t>
  </si>
  <si>
    <t>Proyecto COMPLEMENTACIÓN del parque de micromedidores de la ciudad POR FACTURACION CERO</t>
  </si>
  <si>
    <t>Actualización del Catastro de Usuarios de agua y alcantarillado</t>
  </si>
  <si>
    <t>Diagnóstico y propuesta estratégica para disminuir la submedición, proponer perfiles de consumo y administrar el parque de micromedición</t>
  </si>
  <si>
    <t xml:space="preserve">Implementar procesos de automatización de la facturación (Lecto-facturación u otras estrategias) </t>
  </si>
  <si>
    <t>Nuevas Inversiones</t>
  </si>
  <si>
    <t>TOTAL</t>
  </si>
  <si>
    <t>EQUIPO TÉCNICO CLAVE</t>
  </si>
  <si>
    <t>COSTOS DE INVERSIÓN</t>
  </si>
  <si>
    <t>COSTOS DE OPERACIÓN Y MANTENIMIENTO</t>
  </si>
  <si>
    <t>COSTOS DE EQUIPO TÉCNICO CLAVE</t>
  </si>
  <si>
    <t>Sistema de Tratamiento Abras</t>
  </si>
  <si>
    <t>Colector Inmaculada</t>
  </si>
  <si>
    <t>Reservorio APR1</t>
  </si>
  <si>
    <t>Interceptor las Abras (600 a 1100 mm)</t>
  </si>
  <si>
    <t>Colector Abras Bajo (600 a 1500 mm)</t>
  </si>
  <si>
    <t>Colector Politécnica (700 a 1600 mm)</t>
  </si>
  <si>
    <t>Ingreso incremental anual en dolares</t>
  </si>
  <si>
    <t>Ingreso Incremental por cambio metodológico Tarifa ARCA</t>
  </si>
  <si>
    <t>Estos ingresos inician como flujo desde el final del año 1</t>
  </si>
  <si>
    <t>Numero de usuarios residenciales</t>
  </si>
  <si>
    <t>a Septiembre del 2019</t>
  </si>
  <si>
    <t>Cuentas con consumo cero:</t>
  </si>
  <si>
    <t>US$/año</t>
  </si>
  <si>
    <t>Porcentaje de disminucion de subsidio</t>
  </si>
  <si>
    <t>Tarifa por cargo variable</t>
  </si>
  <si>
    <t>(US/m3/mes)</t>
  </si>
  <si>
    <t>m3/año</t>
  </si>
  <si>
    <t>Volumen mensual promedio consumido categorial no residencial</t>
  </si>
  <si>
    <t>US$/m3</t>
  </si>
  <si>
    <t>Volumen total anual consumido categoria no residencial</t>
  </si>
  <si>
    <t>BLOQUE C ARCA</t>
  </si>
  <si>
    <t>US$/mes</t>
  </si>
  <si>
    <t>Volumen total anual consumido categoria residencial</t>
  </si>
  <si>
    <t>Categorias</t>
  </si>
  <si>
    <t>Valor a pagar por cargo variable</t>
  </si>
  <si>
    <t xml:space="preserve">No residencial </t>
  </si>
  <si>
    <t>% Numero de cuentas no residenciales</t>
  </si>
  <si>
    <t>Total 10 años</t>
  </si>
  <si>
    <t>Ingreso actual por cargo variable</t>
  </si>
  <si>
    <t>Ingreso Incremental</t>
  </si>
  <si>
    <t xml:space="preserve">Suma de ingresos incrementales </t>
  </si>
  <si>
    <t>Valor Base</t>
  </si>
  <si>
    <t>Ingreso por cambio a bloques de consumo ARCA</t>
  </si>
  <si>
    <t>Ingreso Incremental por diez años</t>
  </si>
  <si>
    <t>Subsidios disminuidos en 10%</t>
  </si>
  <si>
    <t>Este valor es calculado con los subsidios actuales, pero usando los bloques de consumo ARCA</t>
  </si>
  <si>
    <t xml:space="preserve">Fuente: </t>
  </si>
  <si>
    <t>Otros rubros de entrada de efectivo no dependientes de la mejora en la recaudación</t>
  </si>
  <si>
    <t>Inversion estudio Alianza</t>
  </si>
  <si>
    <t>Entradas de efectivo por ingresos incrementales</t>
  </si>
  <si>
    <t>Salidas de efectivo</t>
  </si>
  <si>
    <t>Flujo neto</t>
  </si>
  <si>
    <t>Total salidas de efectivo</t>
  </si>
  <si>
    <t>TIR</t>
  </si>
  <si>
    <t>Tasa libre de riesgo</t>
  </si>
  <si>
    <t>https://datosmacro.expansion.com/bono/usa</t>
  </si>
  <si>
    <t>Tasa de rendimiento del mercado</t>
  </si>
  <si>
    <t>https://www.investopedia.com/ask/answers/042415/what-average-annual-return-sp-500.asp</t>
  </si>
  <si>
    <t>Beta</t>
  </si>
  <si>
    <t>Riesgo pais Ecuador</t>
  </si>
  <si>
    <t>Tasa de descuento</t>
  </si>
  <si>
    <t>(Banco Central del Ecuador)</t>
  </si>
  <si>
    <t>Calculo de la tasa de descuento</t>
  </si>
  <si>
    <t>NOTA: EL VALOR EN VERDE CORRESPONDE A LOS INGRESOS, NO A ENTRADA DE EFECTIVO</t>
  </si>
  <si>
    <t>LA ENTRADA DE EFECTIVO CORRESPONDIENTE AL VALOR INDICADO EN VERDE ES DE</t>
  </si>
  <si>
    <t>Ingreso incremental por cargo fijo</t>
  </si>
  <si>
    <t>Se calcula en funcion del incremento de hab/conex</t>
  </si>
  <si>
    <t>De 10 a 25 m3</t>
  </si>
  <si>
    <t>De 25 a 40 m3</t>
  </si>
  <si>
    <t>Subsidio Base</t>
  </si>
  <si>
    <t xml:space="preserve"> Hasta 10 m3</t>
  </si>
  <si>
    <t>Subsidio afectado por % de disminucion</t>
  </si>
  <si>
    <t>Tarifa Base</t>
  </si>
  <si>
    <t>Tarifa fInal BLOQUE A</t>
  </si>
  <si>
    <t>Tarifa Final BLOQUE B</t>
  </si>
  <si>
    <t>Tarifa Final BLOQUE C</t>
  </si>
  <si>
    <t>US/m3/mes</t>
  </si>
  <si>
    <t>Total Cuentas</t>
  </si>
  <si>
    <t>Menos cuentas en cero</t>
  </si>
  <si>
    <t>Total Cuentas Facturadas</t>
  </si>
  <si>
    <t>Consumo Promedio</t>
  </si>
  <si>
    <t>Número de conexiones para calculo de ingresos incrementales</t>
  </si>
  <si>
    <t>#cuentas consumo cero</t>
  </si>
  <si>
    <t>Cargo por consumo variable para 32,35 m3/mes</t>
  </si>
  <si>
    <t>Cuentas para ingreso incremental</t>
  </si>
  <si>
    <t>Total Cuentas ara Ingreso Incremental</t>
  </si>
  <si>
    <t>Ingreso Incremental por Medicion y Facturación  cero</t>
  </si>
  <si>
    <t>Numero de micromedidores a instalar en la Alianza</t>
  </si>
  <si>
    <t>Asesoria</t>
  </si>
  <si>
    <t>Tarifa base</t>
  </si>
  <si>
    <t>Subsidio</t>
  </si>
  <si>
    <t>Subsidio afectado por % de reduccion</t>
  </si>
  <si>
    <t>Tarifa final con acantarillado</t>
  </si>
  <si>
    <t>https://www.bce.fin.ec/index.php/informacioneconomica/</t>
  </si>
  <si>
    <t>Calculos 4 Pliego Tarifario</t>
  </si>
  <si>
    <t>Para el calculo del ingreso incremental considerar el 10%</t>
  </si>
  <si>
    <t>Ingreso incremental anual</t>
  </si>
  <si>
    <t>http://pages.stern.nyu.edu/~adamodar/New_Home_Page/datafile/Betas.html</t>
  </si>
  <si>
    <t>promedio</t>
  </si>
  <si>
    <t>Fuente: Hoja de Calculo Pliego Tarifario 5</t>
  </si>
  <si>
    <t>Fuente: Hoja de Calculo de Pliego Tarifario 5</t>
  </si>
  <si>
    <t>Fuente Catastro 30/09/2019</t>
  </si>
  <si>
    <t>Poblacion urbana</t>
  </si>
  <si>
    <t>Inversión Total  (USD)</t>
  </si>
  <si>
    <t>Total de Inversión ajustada por inflación (USD)</t>
  </si>
  <si>
    <t>Total de Inversiones asociadas</t>
  </si>
  <si>
    <t>Rubro</t>
  </si>
  <si>
    <t>Total Facturado Agua Potable y Alcantarillado sep./2019</t>
  </si>
  <si>
    <t>% de Eficiencia a aplicar Recaudación</t>
  </si>
  <si>
    <t>Recuperación medidores cuentas cero</t>
  </si>
  <si>
    <t>Recuperación medidores instalado incremento cobertura</t>
  </si>
  <si>
    <t>Actualización del Catastro</t>
  </si>
  <si>
    <t>Diagnostico y Propuesta Estratégica para disminuir submedicion</t>
  </si>
  <si>
    <t>Implementar procesos de automatización</t>
  </si>
  <si>
    <t>Indicador de mejora en la eficiencia en la recaudación</t>
  </si>
  <si>
    <t>Indicador acumulado de mejora en la eficiencia en la recaudación</t>
  </si>
  <si>
    <t>TOTALES</t>
  </si>
  <si>
    <t>(*) Estas cuentas facturan 42 metros cubicos en residencial y 60 metros cubicos en no residencial</t>
  </si>
  <si>
    <t>Cargo por consumo variable para 54,72 m3/mes</t>
  </si>
  <si>
    <t>Cuentas que facturan estimado (*)</t>
  </si>
  <si>
    <t>Residenciales</t>
  </si>
  <si>
    <t>Comerciales</t>
  </si>
  <si>
    <t>Industriales</t>
  </si>
  <si>
    <t>Fuente: Catastro de Usuarios EP-EMAPAR</t>
  </si>
  <si>
    <t>Elaboración: Equipo Consultor</t>
  </si>
  <si>
    <t>Resumen de Cuentas                            Consumo cero m3</t>
  </si>
  <si>
    <t>Total de cuentas que facturan estimado (*)</t>
  </si>
  <si>
    <t xml:space="preserve">Resumen de Cuentas Incrementales           (consumo y facturación cero)             </t>
  </si>
  <si>
    <t>Comerciales  e Industriales</t>
  </si>
  <si>
    <t>Tarifa Base menos subsidio</t>
  </si>
  <si>
    <t>Tarifa Final Incluyendo Agua Potable y Alcantarillado</t>
  </si>
  <si>
    <t>BLOQUES RESIDENCIALES</t>
  </si>
  <si>
    <t>BLOQUES NO RESIDENCIALES</t>
  </si>
  <si>
    <t>Subsidio a BLOQUE A</t>
  </si>
  <si>
    <t>Subsidio  BLOQUE B</t>
  </si>
  <si>
    <t>Subsidio a BLOQUE C</t>
  </si>
  <si>
    <t>Subsidio BLOQUE D</t>
  </si>
  <si>
    <t>USD/m3</t>
  </si>
  <si>
    <t>mas de 40 m3/mes</t>
  </si>
  <si>
    <t>De 25 a 40 m3/mes</t>
  </si>
  <si>
    <t>De 10 a 25 m3/mes</t>
  </si>
  <si>
    <t xml:space="preserve"> Hasta 10 m3/mes</t>
  </si>
  <si>
    <t xml:space="preserve"> BLOQUE 1 Hasta 25 m3</t>
  </si>
  <si>
    <t>BLOQUE 2 25 m3 a 50 m3</t>
  </si>
  <si>
    <t>BLOQUE 3: Mas de 50 m3</t>
  </si>
  <si>
    <t>BLOQUE 3 ARCA</t>
  </si>
  <si>
    <t>Incremental Puro por mejora en la recaudación (Base: 9.213.544,69)</t>
  </si>
  <si>
    <t>Ingreso Incremental por expasion de la cobertura cobertura</t>
  </si>
  <si>
    <t>Total sin incremental puro por mejora en eficiencia de la recaudación</t>
  </si>
  <si>
    <t>Entradas de efectivo</t>
  </si>
  <si>
    <t>Entradas de efectivo por ingresos incrementales con aplicación de mejora en la recaudación</t>
  </si>
  <si>
    <t>Entradas de efectivo por mejora "Pura" en la recaudación"</t>
  </si>
  <si>
    <t>Total de entradas de efectivo</t>
  </si>
  <si>
    <t>Ingreso Incremental por mejora en la eficiencia de la recaudación</t>
  </si>
  <si>
    <t>Entrada de efectivo por ingresos incrementales</t>
  </si>
  <si>
    <t>Total Entradas de Efectivo por Otros Ingresos  no dependientes de la mejora en la recaudación</t>
  </si>
  <si>
    <t>Recuperación Medidores instalados por EP-MAPAR</t>
  </si>
  <si>
    <t>Monto Total (USD/10 años)</t>
  </si>
  <si>
    <t>Total Ingresos Incrementales</t>
  </si>
  <si>
    <t>Operación y Mantenimiento</t>
  </si>
  <si>
    <t>Equipo Técnico Clave</t>
  </si>
  <si>
    <t>Concepto</t>
  </si>
  <si>
    <t>Resumen de Alternativas de Inversión</t>
  </si>
  <si>
    <t>TIR ALIADO</t>
  </si>
  <si>
    <t>Flujo  de caja desde el punto de vista del aliado</t>
  </si>
  <si>
    <t>Flujo neto de efectivo</t>
  </si>
  <si>
    <t>por nueve años</t>
  </si>
  <si>
    <t>Entrada/Salida Neta de Efectivo Valor Nominal</t>
  </si>
  <si>
    <t>% de utilidad en la construccion</t>
  </si>
  <si>
    <t>Entrada por utilidad en la construccion</t>
  </si>
  <si>
    <t>% de utilidad en la asesoria</t>
  </si>
  <si>
    <t>Entrada por utilidad en la asesoria</t>
  </si>
  <si>
    <t>Total entradas de efectivo</t>
  </si>
  <si>
    <t>Entradas de Efectivo del PROYECTO a Valor Presente</t>
  </si>
  <si>
    <t>Salidad de Efectivo del Proyecto a VP</t>
  </si>
  <si>
    <t>Saldo a Distribuir ( A Valor Presente)</t>
  </si>
  <si>
    <t>Resumen del Proyecto</t>
  </si>
  <si>
    <t>Valor Presente Neto que recibe la EP-EMAPAR del Proyecto</t>
  </si>
  <si>
    <t>Inversion en Micromedicion EMAPAR</t>
  </si>
  <si>
    <t>Salidas de Efectivo por Mantenimiento y Operación</t>
  </si>
  <si>
    <t>VP de las salidas de Efectivo dela EP-EMAPAR</t>
  </si>
  <si>
    <t>Valor Presente Neto del Flujo de Efectivo que queda con la EP-EMAPAR</t>
  </si>
  <si>
    <t>Tasa de la Deuda</t>
  </si>
  <si>
    <t>Tasa del Costo del Capital</t>
  </si>
  <si>
    <t>Utilidad en la construccion de obras</t>
  </si>
  <si>
    <t>Utilidad en la asesoría</t>
  </si>
  <si>
    <t>Participacion de trabajadores</t>
  </si>
  <si>
    <t>UNDT</t>
  </si>
  <si>
    <t>ISLR</t>
  </si>
  <si>
    <t>Participacion de trabajadores e Impuesto a la Renta</t>
  </si>
  <si>
    <t>Total Trabajadores + ISLR</t>
  </si>
  <si>
    <t xml:space="preserve">%utilidad estudios/inversiones en perdidas tecnicas y facturacion </t>
  </si>
  <si>
    <t>Entradas de efectivo por utilidad en inversiones de proyectos de reduccion de perdidas y facturación</t>
  </si>
  <si>
    <t>utilidad en inversiones de proyectos de reduccion de perdidas y facturación</t>
  </si>
  <si>
    <t>Pago del estudio de la Alianza</t>
  </si>
  <si>
    <t>Salidas de efectivo Inversion + asesoria</t>
  </si>
  <si>
    <t>Salidas de efectivo del Aliado:</t>
  </si>
  <si>
    <t>Total salidas de caja del Aliado Estrategico</t>
  </si>
  <si>
    <t>Valor Presente de la salidas de caja del Aliado</t>
  </si>
  <si>
    <t>Valor Presente del Flujo de Entrada para la EP-MAPAR Neto del Aliado</t>
  </si>
  <si>
    <t xml:space="preserve">Valor </t>
  </si>
  <si>
    <t>Valor presente neto de las salidas de efectivo del proyecto</t>
  </si>
  <si>
    <t>Valor presente neto de las entradas de efectivo del proyecto</t>
  </si>
  <si>
    <t>VNA del Proyecto</t>
  </si>
  <si>
    <t>Entradas de Efectivo por pago de la EP-EMAPAR al Aliado</t>
  </si>
  <si>
    <t>Estado de Utilidades: Aliado Estrategico</t>
  </si>
  <si>
    <t>PERSPECTIVA DEL ALIADO ESTRATEGICO</t>
  </si>
  <si>
    <t>PERSPECTIVA DE LA EP-EMAPAR</t>
  </si>
  <si>
    <t>% del Valor de las inversiones a ser financiados por deuda</t>
  </si>
  <si>
    <t>% del Valor de las inversiones a ser financiados por fondos propios</t>
  </si>
  <si>
    <t>Costo ponderado del Capital</t>
  </si>
  <si>
    <t>Costo ponderado de la Deuda</t>
  </si>
  <si>
    <t>Costo Promedio Ponderado del Capital</t>
  </si>
  <si>
    <t>Porcentaje</t>
  </si>
  <si>
    <t>ALTERNATIVA 2: INCLUYE LA CONSTRUCCIÓN DE COLECTORES PRINCIPALES Y PTAR DE ABRAS + INVERSIONES EN PROCESOS DE AGUA POTABLE</t>
  </si>
  <si>
    <t>Valor presente de los pagos en efectivo al Aliado</t>
  </si>
  <si>
    <t>Impuesto al Valor Agregado (IVA) 12% de los gastos de mantenimiento y operación y la inversion en micromedicion</t>
  </si>
  <si>
    <t>Ingreso por pago de la EP EMAPAR</t>
  </si>
  <si>
    <t>Utilidad por operacion</t>
  </si>
  <si>
    <t>Otros Ingresos</t>
  </si>
  <si>
    <t>Ingresos</t>
  </si>
  <si>
    <t>Total Ingresos</t>
  </si>
  <si>
    <t>Total Gastos Operativos  del Aliado</t>
  </si>
  <si>
    <t>Total otros ingresos</t>
  </si>
  <si>
    <t>Otros Gastos</t>
  </si>
  <si>
    <t>Total Utilidad Gravable</t>
  </si>
  <si>
    <t>Base imponible</t>
  </si>
  <si>
    <t>Base Imponible con Compensacion de perdidas</t>
  </si>
  <si>
    <t>Entradas de efectivo por financiamiento</t>
  </si>
  <si>
    <t>PROYECTO EPMAPAR</t>
  </si>
  <si>
    <t>ALIANZA ESTRATÉGICA</t>
  </si>
  <si>
    <t>FINANCIAMIENTO ANUAL</t>
  </si>
  <si>
    <t>Desembolso</t>
  </si>
  <si>
    <t>Capital</t>
  </si>
  <si>
    <t>Interés</t>
  </si>
  <si>
    <t>Costo de Estructuración</t>
  </si>
  <si>
    <t>Saldo</t>
  </si>
  <si>
    <t>FINANCIAMIENTO MENSUAL</t>
  </si>
  <si>
    <t>Tasa de Interés</t>
  </si>
  <si>
    <t>DESEMBOLSO 1</t>
  </si>
  <si>
    <t>Fecha de Desembolso:</t>
  </si>
  <si>
    <t>Valor de Desembolso:</t>
  </si>
  <si>
    <t>Plazo:</t>
  </si>
  <si>
    <t>años</t>
  </si>
  <si>
    <t>semestres</t>
  </si>
  <si>
    <t>Período de Gracia:</t>
  </si>
  <si>
    <t>Tasa de Interés Período de Gracia:</t>
  </si>
  <si>
    <t>anual</t>
  </si>
  <si>
    <t>semestral</t>
  </si>
  <si>
    <t>Tasa de Interés Período de Pago:</t>
  </si>
  <si>
    <t>Fecha fin de crédito:</t>
  </si>
  <si>
    <t>Fee's y Comisiones:</t>
  </si>
  <si>
    <t>DESEMBOLSO 2</t>
  </si>
  <si>
    <t>DESEMBOLSO 3</t>
  </si>
  <si>
    <t>DESEMBOLSO 4</t>
  </si>
  <si>
    <t>DESEMBOLSO 5</t>
  </si>
  <si>
    <t>Pago del principal del financiamiento</t>
  </si>
  <si>
    <t>Pago de los intereses del financiamiento</t>
  </si>
  <si>
    <t>Pago de los costos de estructuracion del financiamiento</t>
  </si>
  <si>
    <t>Gasto de Interes por Financiamiento</t>
  </si>
  <si>
    <t>Total Otros Gastos</t>
  </si>
  <si>
    <t>Entradas de Efectivo del Proyecto por Ingresos Incrementales</t>
  </si>
  <si>
    <t>Menos Pago al Aliado</t>
  </si>
  <si>
    <t>Salidas de Efectivo de la EP-EMAPAR excluyendo pago al aliado</t>
  </si>
  <si>
    <t>Impuesto al Valor Agregado ( IVA 12%) Pagos al Aliado</t>
  </si>
  <si>
    <t>Total Salidas de Efectivo EP-EMAPAR</t>
  </si>
  <si>
    <t>Total de Flujo Excedente de Entrada para la EP-EMAPAR</t>
  </si>
  <si>
    <t>Flujo de caja neto de la EP-EMAPAR</t>
  </si>
  <si>
    <t>Total Salidas de efectivo del Aliado antes de Impuesto a la Renta</t>
  </si>
  <si>
    <t>Entradas de efectivo del proyecto</t>
  </si>
  <si>
    <t>Inversiones Obra Civil</t>
  </si>
  <si>
    <t>Inversiones Programa Reducción de Pérdidas</t>
  </si>
  <si>
    <t>Inversiones en Obra</t>
  </si>
  <si>
    <t>Inversiones Programa de Reducción de Pérdidas Físicas y Comerciales</t>
  </si>
  <si>
    <t>Entrada de efectivo Nominal</t>
  </si>
  <si>
    <t>Entrada de efectivo Valor Presente</t>
  </si>
  <si>
    <t>Salida de efectivo valor nominal</t>
  </si>
  <si>
    <t>Salida de efectivo valor Presente</t>
  </si>
  <si>
    <t>Asesoria ( Equipo Tecnico Clave dela Aliado</t>
  </si>
  <si>
    <t>Colector García Moreno</t>
  </si>
  <si>
    <t>Colector La Florida</t>
  </si>
  <si>
    <t>Colector Yaruquíes</t>
  </si>
  <si>
    <t>INVERSIONES ALTERNATIVA 3</t>
  </si>
  <si>
    <t xml:space="preserve">Total Inversiones </t>
  </si>
  <si>
    <t>Total Inversiones obra y equipamiento</t>
  </si>
  <si>
    <t>2.9</t>
  </si>
  <si>
    <t>Rehabilitación focalizada de redes</t>
  </si>
  <si>
    <t>2.13</t>
  </si>
  <si>
    <t>Optimización y Modernización de equipo electronico de los pozos subterráneo existentes.</t>
  </si>
  <si>
    <t>Aporte EMAPAR</t>
  </si>
  <si>
    <t>Ingreso Incremental por nueve años</t>
  </si>
  <si>
    <t>Flujos de Caja Descontados del Proyecto</t>
  </si>
  <si>
    <t>TIR EP EMAPAR</t>
  </si>
  <si>
    <t>TIR ALIADO ESTRATEGICO</t>
  </si>
  <si>
    <t>FLUJO DE CAJA DEL PROYECTO</t>
  </si>
  <si>
    <t>PROYECTO TOTAL</t>
  </si>
  <si>
    <t>ALIADO ESTRATEGICO</t>
  </si>
  <si>
    <t>EP EMAPAR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</si>
</sst>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&quot;$&quot;\-#,##0.00"/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00"/>
    <numFmt numFmtId="167" formatCode="_ * #,##0.000_ ;_ * \-#,##0.000_ ;_ * &quot;-&quot;???_ ;_ @_ "/>
    <numFmt numFmtId="168" formatCode="_ * #,##0_ ;_ * \-#,##0_ ;_ * &quot;-&quot;??_ ;_ @_ "/>
    <numFmt numFmtId="169" formatCode="0.0%"/>
    <numFmt numFmtId="170" formatCode="_ [$$-300A]* #,##0.00_ ;_ [$$-300A]* \-#,##0.00_ ;_ [$$-300A]* &quot;-&quot;??_ ;_ @_ "/>
    <numFmt numFmtId="171" formatCode="#,##0.00_ ;\-#,##0.00\ "/>
    <numFmt numFmtId="172" formatCode="&quot;$&quot;#,##0"/>
    <numFmt numFmtId="173" formatCode="[$-C0A]dd\-mmm\-yy;@"/>
    <numFmt numFmtId="174" formatCode="[$-C0A]mmm\-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8000000000000007"/>
      <color rgb="FF333333"/>
      <name val="Arial"/>
      <family val="2"/>
    </font>
    <font>
      <sz val="8.8000000000000007"/>
      <color rgb="FF6A9C00"/>
      <name val="Arial"/>
      <family val="2"/>
    </font>
    <font>
      <sz val="8.8000000000000007"/>
      <color rgb="FFB53F1B"/>
      <name val="Arial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sz val="12"/>
      <color theme="1"/>
      <name val="Tahoma"/>
      <family val="2"/>
    </font>
    <font>
      <sz val="8"/>
      <color theme="1"/>
      <name val="Tahoma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0"/>
      <name val="Times New Roman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0E4D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B8B2AD"/>
      </top>
      <bottom/>
      <diagonal/>
    </border>
    <border>
      <left style="medium">
        <color rgb="FFB8B2AD"/>
      </left>
      <right/>
      <top style="medium">
        <color rgb="FFB8B2AD"/>
      </top>
      <bottom/>
      <diagonal/>
    </border>
    <border>
      <left/>
      <right style="medium">
        <color rgb="FFB8B2AD"/>
      </right>
      <top style="medium">
        <color rgb="FFB8B2AD"/>
      </top>
      <bottom/>
      <diagonal/>
    </border>
    <border>
      <left style="medium">
        <color rgb="FFB8B2AD"/>
      </left>
      <right/>
      <top style="medium">
        <color rgb="FFB8B2AD"/>
      </top>
      <bottom style="medium">
        <color rgb="FFB8B2AD"/>
      </bottom>
      <diagonal/>
    </border>
    <border>
      <left/>
      <right/>
      <top style="medium">
        <color rgb="FFB8B2AD"/>
      </top>
      <bottom style="medium">
        <color rgb="FFB8B2AD"/>
      </bottom>
      <diagonal/>
    </border>
    <border>
      <left/>
      <right style="medium">
        <color rgb="FFB8B2AD"/>
      </right>
      <top style="medium">
        <color rgb="FFB8B2AD"/>
      </top>
      <bottom style="medium">
        <color rgb="FFB8B2AD"/>
      </bottom>
      <diagonal/>
    </border>
    <border>
      <left style="medium">
        <color rgb="FFB8B2AD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95">
    <xf numFmtId="0" fontId="0" fillId="0" borderId="0" xfId="0"/>
    <xf numFmtId="9" fontId="0" fillId="0" borderId="0" xfId="0" applyNumberFormat="1"/>
    <xf numFmtId="43" fontId="0" fillId="0" borderId="1" xfId="1" applyFont="1" applyBorder="1"/>
    <xf numFmtId="0" fontId="0" fillId="0" borderId="1" xfId="0" applyBorder="1"/>
    <xf numFmtId="0" fontId="0" fillId="0" borderId="8" xfId="0" applyBorder="1"/>
    <xf numFmtId="43" fontId="0" fillId="2" borderId="1" xfId="1" applyFont="1" applyFill="1" applyBorder="1"/>
    <xf numFmtId="43" fontId="0" fillId="2" borderId="1" xfId="0" applyNumberFormat="1" applyFill="1" applyBorder="1"/>
    <xf numFmtId="43" fontId="0" fillId="0" borderId="0" xfId="0" applyNumberFormat="1"/>
    <xf numFmtId="43" fontId="0" fillId="0" borderId="0" xfId="1" applyFont="1"/>
    <xf numFmtId="10" fontId="0" fillId="0" borderId="0" xfId="0" applyNumberFormat="1"/>
    <xf numFmtId="1" fontId="0" fillId="0" borderId="0" xfId="0" applyNumberFormat="1"/>
    <xf numFmtId="0" fontId="2" fillId="0" borderId="0" xfId="0" applyFont="1"/>
    <xf numFmtId="43" fontId="0" fillId="0" borderId="1" xfId="0" applyNumberFormat="1" applyBorder="1"/>
    <xf numFmtId="166" fontId="0" fillId="0" borderId="0" xfId="0" applyNumberFormat="1"/>
    <xf numFmtId="167" fontId="2" fillId="0" borderId="0" xfId="0" applyNumberFormat="1" applyFont="1"/>
    <xf numFmtId="43" fontId="0" fillId="0" borderId="0" xfId="1" applyFont="1" applyFill="1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  <xf numFmtId="0" fontId="2" fillId="0" borderId="0" xfId="0" applyFont="1" applyFill="1" applyAlignment="1">
      <alignment horizontal="center"/>
    </xf>
    <xf numFmtId="43" fontId="0" fillId="3" borderId="1" xfId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Fill="1" applyBorder="1"/>
    <xf numFmtId="0" fontId="2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170" fontId="6" fillId="5" borderId="1" xfId="1" applyNumberFormat="1" applyFont="1" applyFill="1" applyBorder="1" applyAlignment="1">
      <alignment vertical="center"/>
    </xf>
    <xf numFmtId="170" fontId="6" fillId="6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170" fontId="6" fillId="2" borderId="1" xfId="1" applyNumberFormat="1" applyFont="1" applyFill="1" applyBorder="1" applyAlignment="1">
      <alignment vertical="center"/>
    </xf>
    <xf numFmtId="43" fontId="11" fillId="0" borderId="1" xfId="0" applyNumberFormat="1" applyFont="1" applyBorder="1"/>
    <xf numFmtId="170" fontId="11" fillId="0" borderId="1" xfId="0" applyNumberFormat="1" applyFont="1" applyBorder="1"/>
    <xf numFmtId="0" fontId="6" fillId="8" borderId="0" xfId="0" applyFont="1" applyFill="1" applyAlignment="1">
      <alignment wrapText="1"/>
    </xf>
    <xf numFmtId="0" fontId="0" fillId="8" borderId="0" xfId="0" applyFill="1"/>
    <xf numFmtId="0" fontId="12" fillId="0" borderId="8" xfId="0" applyFont="1" applyBorder="1" applyAlignment="1">
      <alignment horizontal="center"/>
    </xf>
    <xf numFmtId="0" fontId="13" fillId="0" borderId="1" xfId="0" applyFont="1" applyBorder="1"/>
    <xf numFmtId="0" fontId="14" fillId="0" borderId="0" xfId="0" applyFont="1"/>
    <xf numFmtId="43" fontId="0" fillId="9" borderId="1" xfId="1" applyFont="1" applyFill="1" applyBorder="1" applyAlignment="1">
      <alignment horizontal="center"/>
    </xf>
    <xf numFmtId="2" fontId="0" fillId="0" borderId="1" xfId="0" applyNumberFormat="1" applyFill="1" applyBorder="1"/>
    <xf numFmtId="0" fontId="2" fillId="0" borderId="1" xfId="0" applyFont="1" applyBorder="1"/>
    <xf numFmtId="0" fontId="0" fillId="0" borderId="1" xfId="0" applyFont="1" applyBorder="1"/>
    <xf numFmtId="43" fontId="0" fillId="7" borderId="1" xfId="0" applyNumberFormat="1" applyFill="1" applyBorder="1"/>
    <xf numFmtId="9" fontId="0" fillId="0" borderId="1" xfId="0" applyNumberFormat="1" applyBorder="1"/>
    <xf numFmtId="10" fontId="0" fillId="0" borderId="1" xfId="0" applyNumberFormat="1" applyBorder="1"/>
    <xf numFmtId="9" fontId="0" fillId="0" borderId="1" xfId="2" applyFont="1" applyBorder="1"/>
    <xf numFmtId="43" fontId="2" fillId="5" borderId="0" xfId="0" applyNumberFormat="1" applyFont="1" applyFill="1"/>
    <xf numFmtId="170" fontId="0" fillId="0" borderId="0" xfId="0" applyNumberFormat="1"/>
    <xf numFmtId="169" fontId="0" fillId="0" borderId="1" xfId="2" applyNumberFormat="1" applyFont="1" applyBorder="1"/>
    <xf numFmtId="43" fontId="2" fillId="0" borderId="1" xfId="0" applyNumberFormat="1" applyFont="1" applyFill="1" applyBorder="1"/>
    <xf numFmtId="169" fontId="2" fillId="3" borderId="1" xfId="2" applyNumberFormat="1" applyFont="1" applyFill="1" applyBorder="1"/>
    <xf numFmtId="0" fontId="0" fillId="0" borderId="1" xfId="0" applyBorder="1"/>
    <xf numFmtId="0" fontId="0" fillId="2" borderId="0" xfId="0" applyFill="1"/>
    <xf numFmtId="0" fontId="0" fillId="5" borderId="0" xfId="0" applyFill="1"/>
    <xf numFmtId="0" fontId="0" fillId="0" borderId="1" xfId="0" applyBorder="1" applyAlignment="1">
      <alignment vertical="center" wrapText="1"/>
    </xf>
    <xf numFmtId="168" fontId="0" fillId="0" borderId="1" xfId="1" applyNumberFormat="1" applyFont="1" applyBorder="1"/>
    <xf numFmtId="168" fontId="2" fillId="3" borderId="1" xfId="0" applyNumberFormat="1" applyFont="1" applyFill="1" applyBorder="1"/>
    <xf numFmtId="0" fontId="2" fillId="4" borderId="1" xfId="0" applyFont="1" applyFill="1" applyBorder="1"/>
    <xf numFmtId="0" fontId="3" fillId="0" borderId="1" xfId="0" applyFont="1" applyBorder="1"/>
    <xf numFmtId="9" fontId="0" fillId="0" borderId="1" xfId="1" applyNumberFormat="1" applyFont="1" applyBorder="1"/>
    <xf numFmtId="0" fontId="0" fillId="7" borderId="1" xfId="0" applyFill="1" applyBorder="1"/>
    <xf numFmtId="0" fontId="15" fillId="0" borderId="1" xfId="0" applyFont="1" applyBorder="1"/>
    <xf numFmtId="0" fontId="0" fillId="0" borderId="0" xfId="0" applyFill="1" applyBorder="1"/>
    <xf numFmtId="43" fontId="0" fillId="0" borderId="0" xfId="1" applyFont="1" applyBorder="1"/>
    <xf numFmtId="0" fontId="0" fillId="0" borderId="9" xfId="0" applyBorder="1"/>
    <xf numFmtId="43" fontId="0" fillId="0" borderId="1" xfId="0" applyNumberFormat="1" applyFill="1" applyBorder="1"/>
    <xf numFmtId="165" fontId="0" fillId="0" borderId="1" xfId="0" applyNumberFormat="1" applyBorder="1"/>
    <xf numFmtId="43" fontId="2" fillId="3" borderId="1" xfId="0" applyNumberFormat="1" applyFont="1" applyFill="1" applyBorder="1"/>
    <xf numFmtId="43" fontId="0" fillId="0" borderId="1" xfId="1" applyFont="1" applyFill="1" applyBorder="1"/>
    <xf numFmtId="0" fontId="16" fillId="0" borderId="1" xfId="4" applyBorder="1"/>
    <xf numFmtId="0" fontId="0" fillId="0" borderId="0" xfId="0"/>
    <xf numFmtId="9" fontId="2" fillId="0" borderId="0" xfId="0" applyNumberFormat="1" applyFont="1" applyFill="1"/>
    <xf numFmtId="9" fontId="0" fillId="0" borderId="0" xfId="2" applyFont="1" applyFill="1" applyBorder="1"/>
    <xf numFmtId="0" fontId="4" fillId="0" borderId="0" xfId="0" applyFont="1" applyFill="1" applyAlignment="1">
      <alignment horizontal="center"/>
    </xf>
    <xf numFmtId="10" fontId="17" fillId="10" borderId="12" xfId="0" applyNumberFormat="1" applyFont="1" applyFill="1" applyBorder="1" applyAlignment="1">
      <alignment horizontal="right" vertical="top"/>
    </xf>
    <xf numFmtId="10" fontId="17" fillId="0" borderId="12" xfId="0" applyNumberFormat="1" applyFont="1" applyBorder="1" applyAlignment="1">
      <alignment horizontal="right" vertical="top"/>
    </xf>
    <xf numFmtId="14" fontId="17" fillId="0" borderId="13" xfId="0" applyNumberFormat="1" applyFont="1" applyBorder="1" applyAlignment="1">
      <alignment horizontal="right" vertical="top"/>
    </xf>
    <xf numFmtId="0" fontId="18" fillId="0" borderId="14" xfId="0" applyFont="1" applyBorder="1" applyAlignment="1">
      <alignment horizontal="right" vertical="top"/>
    </xf>
    <xf numFmtId="14" fontId="17" fillId="10" borderId="13" xfId="0" applyNumberFormat="1" applyFont="1" applyFill="1" applyBorder="1" applyAlignment="1">
      <alignment horizontal="right" vertical="top"/>
    </xf>
    <xf numFmtId="0" fontId="17" fillId="10" borderId="14" xfId="0" applyFont="1" applyFill="1" applyBorder="1" applyAlignment="1">
      <alignment horizontal="right" vertical="top"/>
    </xf>
    <xf numFmtId="0" fontId="19" fillId="10" borderId="14" xfId="0" applyFont="1" applyFill="1" applyBorder="1" applyAlignment="1">
      <alignment horizontal="right" vertical="top"/>
    </xf>
    <xf numFmtId="0" fontId="18" fillId="10" borderId="14" xfId="0" applyFont="1" applyFill="1" applyBorder="1" applyAlignment="1">
      <alignment horizontal="right" vertical="top"/>
    </xf>
    <xf numFmtId="14" fontId="17" fillId="11" borderId="15" xfId="0" applyNumberFormat="1" applyFont="1" applyFill="1" applyBorder="1" applyAlignment="1">
      <alignment horizontal="right" vertical="top"/>
    </xf>
    <xf numFmtId="10" fontId="17" fillId="11" borderId="16" xfId="0" applyNumberFormat="1" applyFont="1" applyFill="1" applyBorder="1" applyAlignment="1">
      <alignment horizontal="right" vertical="top"/>
    </xf>
    <xf numFmtId="0" fontId="18" fillId="11" borderId="17" xfId="0" applyFont="1" applyFill="1" applyBorder="1" applyAlignment="1">
      <alignment horizontal="right" vertical="top"/>
    </xf>
    <xf numFmtId="43" fontId="0" fillId="0" borderId="0" xfId="0" applyNumberFormat="1" applyBorder="1"/>
    <xf numFmtId="10" fontId="0" fillId="0" borderId="1" xfId="2" applyNumberFormat="1" applyFont="1" applyBorder="1"/>
    <xf numFmtId="43" fontId="2" fillId="0" borderId="1" xfId="1" applyFont="1" applyBorder="1"/>
    <xf numFmtId="168" fontId="2" fillId="0" borderId="1" xfId="0" applyNumberFormat="1" applyFont="1" applyBorder="1"/>
    <xf numFmtId="0" fontId="2" fillId="3" borderId="1" xfId="0" applyFont="1" applyFill="1" applyBorder="1" applyAlignment="1">
      <alignment horizontal="center"/>
    </xf>
    <xf numFmtId="43" fontId="2" fillId="0" borderId="0" xfId="1" applyFont="1" applyAlignment="1">
      <alignment horizontal="center"/>
    </xf>
    <xf numFmtId="168" fontId="0" fillId="0" borderId="9" xfId="1" applyNumberFormat="1" applyFont="1" applyFill="1" applyBorder="1"/>
    <xf numFmtId="168" fontId="0" fillId="0" borderId="1" xfId="1" applyNumberFormat="1" applyFont="1" applyFill="1" applyBorder="1"/>
    <xf numFmtId="0" fontId="21" fillId="0" borderId="0" xfId="0" applyFont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43" fontId="21" fillId="0" borderId="1" xfId="0" applyNumberFormat="1" applyFont="1" applyBorder="1"/>
    <xf numFmtId="43" fontId="21" fillId="0" borderId="1" xfId="1" applyFont="1" applyFill="1" applyBorder="1"/>
    <xf numFmtId="0" fontId="21" fillId="0" borderId="1" xfId="0" applyFont="1" applyBorder="1" applyAlignment="1">
      <alignment wrapText="1"/>
    </xf>
    <xf numFmtId="0" fontId="21" fillId="0" borderId="1" xfId="0" applyFont="1" applyFill="1" applyBorder="1" applyAlignment="1">
      <alignment wrapText="1"/>
    </xf>
    <xf numFmtId="43" fontId="22" fillId="0" borderId="1" xfId="1" applyFont="1" applyBorder="1"/>
    <xf numFmtId="14" fontId="17" fillId="10" borderId="18" xfId="0" applyNumberFormat="1" applyFont="1" applyFill="1" applyBorder="1" applyAlignment="1">
      <alignment horizontal="right" vertical="top"/>
    </xf>
    <xf numFmtId="10" fontId="17" fillId="10" borderId="0" xfId="0" applyNumberFormat="1" applyFont="1" applyFill="1" applyBorder="1" applyAlignment="1">
      <alignment horizontal="right" vertical="top"/>
    </xf>
    <xf numFmtId="0" fontId="0" fillId="5" borderId="1" xfId="0" applyFill="1" applyBorder="1"/>
    <xf numFmtId="10" fontId="0" fillId="5" borderId="1" xfId="0" applyNumberFormat="1" applyFill="1" applyBorder="1"/>
    <xf numFmtId="4" fontId="23" fillId="0" borderId="0" xfId="0" applyNumberFormat="1" applyFont="1"/>
    <xf numFmtId="0" fontId="20" fillId="0" borderId="6" xfId="0" applyFont="1" applyBorder="1" applyAlignment="1"/>
    <xf numFmtId="169" fontId="21" fillId="0" borderId="1" xfId="0" applyNumberFormat="1" applyFont="1" applyBorder="1" applyAlignment="1">
      <alignment horizontal="center"/>
    </xf>
    <xf numFmtId="43" fontId="21" fillId="0" borderId="1" xfId="0" applyNumberFormat="1" applyFont="1" applyBorder="1" applyAlignment="1">
      <alignment horizontal="center"/>
    </xf>
    <xf numFmtId="43" fontId="21" fillId="0" borderId="1" xfId="1" applyFont="1" applyBorder="1" applyAlignment="1">
      <alignment horizontal="center"/>
    </xf>
    <xf numFmtId="168" fontId="21" fillId="0" borderId="1" xfId="0" applyNumberFormat="1" applyFont="1" applyBorder="1" applyAlignment="1">
      <alignment horizontal="center"/>
    </xf>
    <xf numFmtId="168" fontId="21" fillId="0" borderId="1" xfId="1" applyNumberFormat="1" applyFont="1" applyBorder="1" applyAlignment="1">
      <alignment horizontal="center"/>
    </xf>
    <xf numFmtId="168" fontId="21" fillId="0" borderId="1" xfId="1" applyNumberFormat="1" applyFont="1" applyFill="1" applyBorder="1" applyAlignment="1">
      <alignment horizontal="center"/>
    </xf>
    <xf numFmtId="10" fontId="2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8" fontId="0" fillId="0" borderId="0" xfId="0" applyNumberFormat="1"/>
    <xf numFmtId="0" fontId="24" fillId="0" borderId="6" xfId="0" applyFont="1" applyBorder="1" applyAlignment="1"/>
    <xf numFmtId="43" fontId="0" fillId="0" borderId="0" xfId="0" applyNumberFormat="1" applyFill="1"/>
    <xf numFmtId="0" fontId="0" fillId="12" borderId="1" xfId="0" applyFill="1" applyBorder="1"/>
    <xf numFmtId="43" fontId="0" fillId="12" borderId="1" xfId="1" applyFont="1" applyFill="1" applyBorder="1"/>
    <xf numFmtId="9" fontId="0" fillId="12" borderId="1" xfId="2" applyFont="1" applyFill="1" applyBorder="1"/>
    <xf numFmtId="43" fontId="0" fillId="0" borderId="0" xfId="1" applyFont="1" applyFill="1" applyBorder="1"/>
    <xf numFmtId="43" fontId="0" fillId="0" borderId="0" xfId="0" applyNumberFormat="1" applyFill="1" applyBorder="1"/>
    <xf numFmtId="43" fontId="0" fillId="0" borderId="0" xfId="1" applyFont="1" applyFill="1" applyBorder="1" applyAlignment="1">
      <alignment horizontal="center"/>
    </xf>
    <xf numFmtId="0" fontId="0" fillId="13" borderId="1" xfId="0" applyFill="1" applyBorder="1"/>
    <xf numFmtId="0" fontId="0" fillId="13" borderId="0" xfId="0" applyFill="1"/>
    <xf numFmtId="0" fontId="2" fillId="14" borderId="0" xfId="0" applyFont="1" applyFill="1"/>
    <xf numFmtId="0" fontId="0" fillId="15" borderId="0" xfId="0" applyFill="1" applyBorder="1"/>
    <xf numFmtId="0" fontId="0" fillId="15" borderId="0" xfId="0" applyFill="1"/>
    <xf numFmtId="0" fontId="21" fillId="15" borderId="0" xfId="0" applyFont="1" applyFill="1" applyBorder="1"/>
    <xf numFmtId="0" fontId="21" fillId="15" borderId="0" xfId="0" applyFont="1" applyFill="1"/>
    <xf numFmtId="0" fontId="0" fillId="3" borderId="0" xfId="0" applyFill="1" applyBorder="1"/>
    <xf numFmtId="168" fontId="0" fillId="15" borderId="0" xfId="1" applyNumberFormat="1" applyFont="1" applyFill="1" applyBorder="1"/>
    <xf numFmtId="168" fontId="2" fillId="3" borderId="0" xfId="1" applyNumberFormat="1" applyFont="1" applyFill="1" applyBorder="1"/>
    <xf numFmtId="168" fontId="0" fillId="13" borderId="0" xfId="1" applyNumberFormat="1" applyFont="1" applyFill="1" applyBorder="1"/>
    <xf numFmtId="168" fontId="2" fillId="14" borderId="0" xfId="0" applyNumberFormat="1" applyFont="1" applyFill="1"/>
    <xf numFmtId="168" fontId="2" fillId="3" borderId="0" xfId="0" applyNumberFormat="1" applyFont="1" applyFill="1"/>
    <xf numFmtId="168" fontId="0" fillId="13" borderId="0" xfId="0" applyNumberFormat="1" applyFill="1"/>
    <xf numFmtId="0" fontId="2" fillId="15" borderId="1" xfId="0" applyFont="1" applyFill="1" applyBorder="1"/>
    <xf numFmtId="43" fontId="0" fillId="15" borderId="1" xfId="1" applyFont="1" applyFill="1" applyBorder="1"/>
    <xf numFmtId="0" fontId="0" fillId="15" borderId="1" xfId="0" applyFill="1" applyBorder="1"/>
    <xf numFmtId="43" fontId="2" fillId="15" borderId="1" xfId="1" applyNumberFormat="1" applyFont="1" applyFill="1" applyBorder="1"/>
    <xf numFmtId="43" fontId="27" fillId="0" borderId="1" xfId="1" applyFont="1" applyBorder="1"/>
    <xf numFmtId="43" fontId="26" fillId="0" borderId="1" xfId="1" applyFont="1" applyBorder="1"/>
    <xf numFmtId="43" fontId="26" fillId="0" borderId="8" xfId="1" applyFont="1" applyBorder="1" applyAlignment="1">
      <alignment horizontal="center"/>
    </xf>
    <xf numFmtId="0" fontId="26" fillId="0" borderId="1" xfId="1" applyNumberFormat="1" applyFont="1" applyBorder="1" applyAlignment="1">
      <alignment horizontal="center"/>
    </xf>
    <xf numFmtId="43" fontId="27" fillId="0" borderId="1" xfId="1" applyFont="1" applyFill="1" applyBorder="1"/>
    <xf numFmtId="43" fontId="28" fillId="0" borderId="1" xfId="1" applyFont="1" applyFill="1" applyBorder="1" applyAlignment="1">
      <alignment horizontal="center"/>
    </xf>
    <xf numFmtId="43" fontId="26" fillId="0" borderId="1" xfId="1" applyFont="1" applyFill="1" applyBorder="1"/>
    <xf numFmtId="43" fontId="28" fillId="0" borderId="8" xfId="1" applyFont="1" applyFill="1" applyBorder="1" applyAlignment="1">
      <alignment horizontal="center"/>
    </xf>
    <xf numFmtId="43" fontId="29" fillId="0" borderId="1" xfId="1" applyFont="1" applyFill="1" applyBorder="1" applyAlignment="1">
      <alignment horizontal="center"/>
    </xf>
    <xf numFmtId="43" fontId="26" fillId="0" borderId="9" xfId="1" applyFont="1" applyBorder="1"/>
    <xf numFmtId="4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16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16" borderId="1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16" borderId="1" xfId="0" applyFill="1" applyBorder="1" applyAlignment="1">
      <alignment horizontal="center" wrapText="1"/>
    </xf>
    <xf numFmtId="0" fontId="31" fillId="0" borderId="0" xfId="0" applyFont="1" applyAlignment="1">
      <alignment horizontal="justify" vertical="center"/>
    </xf>
    <xf numFmtId="4" fontId="0" fillId="0" borderId="0" xfId="0" applyNumberFormat="1"/>
    <xf numFmtId="4" fontId="32" fillId="0" borderId="0" xfId="0" applyNumberFormat="1" applyFont="1"/>
    <xf numFmtId="43" fontId="21" fillId="0" borderId="1" xfId="1" applyFont="1" applyBorder="1"/>
    <xf numFmtId="0" fontId="21" fillId="0" borderId="1" xfId="0" applyFont="1" applyFill="1" applyBorder="1" applyAlignment="1">
      <alignment horizontal="center"/>
    </xf>
    <xf numFmtId="0" fontId="0" fillId="0" borderId="0" xfId="0" applyFont="1"/>
    <xf numFmtId="168" fontId="21" fillId="0" borderId="1" xfId="0" applyNumberFormat="1" applyFont="1" applyBorder="1"/>
    <xf numFmtId="0" fontId="0" fillId="15" borderId="1" xfId="0" applyFill="1" applyBorder="1" applyAlignment="1">
      <alignment horizontal="center"/>
    </xf>
    <xf numFmtId="43" fontId="2" fillId="4" borderId="1" xfId="1" applyFont="1" applyFill="1" applyBorder="1"/>
    <xf numFmtId="9" fontId="2" fillId="4" borderId="1" xfId="0" applyNumberFormat="1" applyFont="1" applyFill="1" applyBorder="1"/>
    <xf numFmtId="43" fontId="2" fillId="12" borderId="1" xfId="1" applyFont="1" applyFill="1" applyBorder="1"/>
    <xf numFmtId="167" fontId="22" fillId="0" borderId="1" xfId="0" applyNumberFormat="1" applyFont="1" applyBorder="1"/>
    <xf numFmtId="43" fontId="2" fillId="17" borderId="1" xfId="1" applyFont="1" applyFill="1" applyBorder="1"/>
    <xf numFmtId="0" fontId="2" fillId="17" borderId="1" xfId="0" applyFont="1" applyFill="1" applyBorder="1"/>
    <xf numFmtId="0" fontId="2" fillId="17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4" borderId="1" xfId="0" applyFill="1" applyBorder="1"/>
    <xf numFmtId="43" fontId="2" fillId="4" borderId="1" xfId="0" applyNumberFormat="1" applyFont="1" applyFill="1" applyBorder="1"/>
    <xf numFmtId="0" fontId="0" fillId="0" borderId="1" xfId="0" applyBorder="1" applyAlignment="1">
      <alignment horizontal="center"/>
    </xf>
    <xf numFmtId="0" fontId="22" fillId="9" borderId="1" xfId="0" applyFont="1" applyFill="1" applyBorder="1"/>
    <xf numFmtId="0" fontId="21" fillId="0" borderId="0" xfId="0" applyFont="1" applyFill="1" applyBorder="1" applyAlignment="1">
      <alignment wrapText="1"/>
    </xf>
    <xf numFmtId="43" fontId="21" fillId="0" borderId="0" xfId="0" applyNumberFormat="1" applyFont="1"/>
    <xf numFmtId="9" fontId="21" fillId="0" borderId="1" xfId="0" applyNumberFormat="1" applyFont="1" applyBorder="1"/>
    <xf numFmtId="10" fontId="21" fillId="0" borderId="1" xfId="0" applyNumberFormat="1" applyFont="1" applyBorder="1"/>
    <xf numFmtId="8" fontId="21" fillId="0" borderId="1" xfId="0" applyNumberFormat="1" applyFont="1" applyBorder="1"/>
    <xf numFmtId="8" fontId="21" fillId="0" borderId="0" xfId="0" applyNumberFormat="1" applyFont="1"/>
    <xf numFmtId="0" fontId="21" fillId="0" borderId="0" xfId="0" applyFont="1" applyBorder="1"/>
    <xf numFmtId="8" fontId="21" fillId="0" borderId="0" xfId="0" applyNumberFormat="1" applyFont="1" applyBorder="1"/>
    <xf numFmtId="0" fontId="21" fillId="0" borderId="0" xfId="0" applyFont="1" applyFill="1" applyBorder="1"/>
    <xf numFmtId="0" fontId="21" fillId="0" borderId="1" xfId="0" applyFont="1" applyFill="1" applyBorder="1"/>
    <xf numFmtId="43" fontId="21" fillId="0" borderId="0" xfId="0" applyNumberFormat="1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1" fillId="0" borderId="9" xfId="0" applyFont="1" applyFill="1" applyBorder="1"/>
    <xf numFmtId="8" fontId="22" fillId="0" borderId="0" xfId="0" applyNumberFormat="1" applyFont="1" applyBorder="1"/>
    <xf numFmtId="0" fontId="22" fillId="0" borderId="1" xfId="0" applyFont="1" applyBorder="1" applyAlignment="1">
      <alignment horizontal="center"/>
    </xf>
    <xf numFmtId="168" fontId="22" fillId="0" borderId="1" xfId="0" applyNumberFormat="1" applyFont="1" applyBorder="1"/>
    <xf numFmtId="168" fontId="22" fillId="0" borderId="1" xfId="0" applyNumberFormat="1" applyFont="1" applyBorder="1" applyAlignment="1">
      <alignment horizontal="center"/>
    </xf>
    <xf numFmtId="168" fontId="22" fillId="0" borderId="1" xfId="0" applyNumberFormat="1" applyFont="1" applyFill="1" applyBorder="1" applyAlignment="1">
      <alignment horizontal="center"/>
    </xf>
    <xf numFmtId="9" fontId="21" fillId="0" borderId="1" xfId="0" applyNumberFormat="1" applyFont="1" applyFill="1" applyBorder="1" applyAlignment="1">
      <alignment horizontal="center"/>
    </xf>
    <xf numFmtId="43" fontId="22" fillId="0" borderId="1" xfId="0" applyNumberFormat="1" applyFont="1" applyBorder="1"/>
    <xf numFmtId="0" fontId="22" fillId="0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left" vertical="center" wrapText="1"/>
    </xf>
    <xf numFmtId="171" fontId="9" fillId="0" borderId="1" xfId="0" applyNumberFormat="1" applyFont="1" applyBorder="1" applyAlignment="1">
      <alignment horizontal="center"/>
    </xf>
    <xf numFmtId="171" fontId="12" fillId="0" borderId="1" xfId="0" applyNumberFormat="1" applyFont="1" applyBorder="1" applyAlignment="1">
      <alignment horizontal="center"/>
    </xf>
    <xf numFmtId="9" fontId="0" fillId="0" borderId="0" xfId="2" applyFont="1"/>
    <xf numFmtId="0" fontId="21" fillId="2" borderId="1" xfId="0" applyFont="1" applyFill="1" applyBorder="1" applyAlignment="1">
      <alignment wrapText="1"/>
    </xf>
    <xf numFmtId="8" fontId="21" fillId="0" borderId="9" xfId="0" applyNumberFormat="1" applyFont="1" applyBorder="1"/>
    <xf numFmtId="0" fontId="22" fillId="0" borderId="1" xfId="0" applyFont="1" applyBorder="1" applyAlignment="1">
      <alignment horizontal="center"/>
    </xf>
    <xf numFmtId="43" fontId="22" fillId="0" borderId="1" xfId="1" applyFont="1" applyBorder="1" applyAlignment="1">
      <alignment horizontal="center"/>
    </xf>
    <xf numFmtId="0" fontId="22" fillId="0" borderId="1" xfId="0" applyFont="1" applyFill="1" applyBorder="1"/>
    <xf numFmtId="0" fontId="35" fillId="0" borderId="0" xfId="0" applyFont="1"/>
    <xf numFmtId="0" fontId="36" fillId="0" borderId="0" xfId="0" applyFont="1"/>
    <xf numFmtId="0" fontId="0" fillId="0" borderId="24" xfId="0" applyBorder="1"/>
    <xf numFmtId="0" fontId="0" fillId="0" borderId="34" xfId="0" applyBorder="1"/>
    <xf numFmtId="0" fontId="0" fillId="0" borderId="35" xfId="0" applyBorder="1"/>
    <xf numFmtId="172" fontId="0" fillId="0" borderId="36" xfId="0" applyNumberFormat="1" applyBorder="1"/>
    <xf numFmtId="172" fontId="0" fillId="0" borderId="37" xfId="0" applyNumberFormat="1" applyBorder="1"/>
    <xf numFmtId="172" fontId="0" fillId="0" borderId="38" xfId="0" applyNumberFormat="1" applyBorder="1"/>
    <xf numFmtId="0" fontId="0" fillId="0" borderId="39" xfId="0" applyBorder="1"/>
    <xf numFmtId="0" fontId="0" fillId="0" borderId="40" xfId="0" applyBorder="1"/>
    <xf numFmtId="172" fontId="0" fillId="0" borderId="41" xfId="0" applyNumberFormat="1" applyBorder="1"/>
    <xf numFmtId="0" fontId="0" fillId="0" borderId="42" xfId="0" applyBorder="1"/>
    <xf numFmtId="0" fontId="0" fillId="0" borderId="43" xfId="0" applyBorder="1"/>
    <xf numFmtId="172" fontId="0" fillId="0" borderId="44" xfId="0" applyNumberFormat="1" applyBorder="1"/>
    <xf numFmtId="172" fontId="0" fillId="0" borderId="45" xfId="0" applyNumberFormat="1" applyBorder="1"/>
    <xf numFmtId="0" fontId="0" fillId="0" borderId="46" xfId="0" applyBorder="1"/>
    <xf numFmtId="0" fontId="0" fillId="0" borderId="47" xfId="0" applyBorder="1"/>
    <xf numFmtId="172" fontId="0" fillId="0" borderId="32" xfId="0" applyNumberFormat="1" applyBorder="1"/>
    <xf numFmtId="172" fontId="0" fillId="0" borderId="33" xfId="0" applyNumberFormat="1" applyBorder="1"/>
    <xf numFmtId="172" fontId="0" fillId="0" borderId="0" xfId="0" applyNumberFormat="1"/>
    <xf numFmtId="10" fontId="35" fillId="0" borderId="0" xfId="0" applyNumberFormat="1" applyFont="1" applyAlignment="1">
      <alignment horizontal="right"/>
    </xf>
    <xf numFmtId="174" fontId="0" fillId="0" borderId="37" xfId="0" applyNumberFormat="1" applyBorder="1"/>
    <xf numFmtId="172" fontId="0" fillId="0" borderId="48" xfId="0" applyNumberFormat="1" applyBorder="1"/>
    <xf numFmtId="172" fontId="0" fillId="0" borderId="49" xfId="0" applyNumberFormat="1" applyBorder="1"/>
    <xf numFmtId="0" fontId="0" fillId="0" borderId="50" xfId="0" applyBorder="1"/>
    <xf numFmtId="0" fontId="0" fillId="0" borderId="27" xfId="0" applyBorder="1"/>
    <xf numFmtId="0" fontId="0" fillId="0" borderId="44" xfId="0" applyBorder="1"/>
    <xf numFmtId="0" fontId="0" fillId="0" borderId="25" xfId="0" applyBorder="1"/>
    <xf numFmtId="10" fontId="0" fillId="0" borderId="44" xfId="0" applyNumberFormat="1" applyBorder="1"/>
    <xf numFmtId="10" fontId="0" fillId="0" borderId="44" xfId="2" applyNumberFormat="1" applyFont="1" applyBorder="1"/>
    <xf numFmtId="174" fontId="0" fillId="0" borderId="44" xfId="0" applyNumberFormat="1" applyBorder="1"/>
    <xf numFmtId="173" fontId="0" fillId="0" borderId="0" xfId="0" applyNumberFormat="1"/>
    <xf numFmtId="10" fontId="0" fillId="0" borderId="32" xfId="2" applyNumberFormat="1" applyFont="1" applyBorder="1"/>
    <xf numFmtId="172" fontId="0" fillId="0" borderId="51" xfId="0" applyNumberFormat="1" applyBorder="1"/>
    <xf numFmtId="174" fontId="0" fillId="0" borderId="0" xfId="0" applyNumberFormat="1"/>
    <xf numFmtId="43" fontId="21" fillId="0" borderId="19" xfId="0" applyNumberFormat="1" applyFont="1" applyBorder="1"/>
    <xf numFmtId="43" fontId="37" fillId="0" borderId="1" xfId="0" applyNumberFormat="1" applyFont="1" applyBorder="1"/>
    <xf numFmtId="0" fontId="37" fillId="0" borderId="1" xfId="0" applyFont="1" applyBorder="1"/>
    <xf numFmtId="43" fontId="37" fillId="0" borderId="1" xfId="1" applyFont="1" applyBorder="1"/>
    <xf numFmtId="164" fontId="21" fillId="0" borderId="19" xfId="0" applyNumberFormat="1" applyFont="1" applyBorder="1"/>
    <xf numFmtId="43" fontId="21" fillId="0" borderId="10" xfId="0" applyNumberFormat="1" applyFont="1" applyFill="1" applyBorder="1"/>
    <xf numFmtId="43" fontId="27" fillId="0" borderId="1" xfId="1" applyFont="1" applyBorder="1" applyAlignment="1">
      <alignment horizontal="center"/>
    </xf>
    <xf numFmtId="8" fontId="0" fillId="0" borderId="0" xfId="0" applyNumberFormat="1"/>
    <xf numFmtId="10" fontId="30" fillId="2" borderId="1" xfId="2" applyNumberFormat="1" applyFont="1" applyFill="1" applyBorder="1"/>
    <xf numFmtId="0" fontId="33" fillId="0" borderId="1" xfId="0" applyFont="1" applyFill="1" applyBorder="1" applyAlignment="1">
      <alignment wrapText="1"/>
    </xf>
    <xf numFmtId="0" fontId="2" fillId="18" borderId="0" xfId="0" applyFont="1" applyFill="1"/>
    <xf numFmtId="0" fontId="2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9" fontId="21" fillId="0" borderId="0" xfId="2" applyFont="1"/>
    <xf numFmtId="0" fontId="39" fillId="0" borderId="0" xfId="0" applyFont="1"/>
    <xf numFmtId="0" fontId="40" fillId="0" borderId="0" xfId="0" applyFont="1"/>
    <xf numFmtId="0" fontId="35" fillId="18" borderId="21" xfId="0" applyFont="1" applyFill="1" applyBorder="1" applyAlignment="1">
      <alignment horizontal="center"/>
    </xf>
    <xf numFmtId="0" fontId="35" fillId="18" borderId="22" xfId="0" applyFont="1" applyFill="1" applyBorder="1" applyAlignment="1">
      <alignment horizontal="center"/>
    </xf>
    <xf numFmtId="0" fontId="35" fillId="18" borderId="23" xfId="0" applyFont="1" applyFill="1" applyBorder="1" applyAlignment="1">
      <alignment horizontal="center"/>
    </xf>
    <xf numFmtId="173" fontId="35" fillId="18" borderId="27" xfId="0" applyNumberFormat="1" applyFont="1" applyFill="1" applyBorder="1" applyAlignment="1">
      <alignment horizontal="center"/>
    </xf>
    <xf numFmtId="173" fontId="35" fillId="18" borderId="28" xfId="0" applyNumberFormat="1" applyFont="1" applyFill="1" applyBorder="1" applyAlignment="1">
      <alignment horizontal="center"/>
    </xf>
    <xf numFmtId="173" fontId="35" fillId="18" borderId="29" xfId="0" applyNumberFormat="1" applyFont="1" applyFill="1" applyBorder="1" applyAlignment="1">
      <alignment horizontal="center"/>
    </xf>
    <xf numFmtId="173" fontId="35" fillId="18" borderId="32" xfId="0" applyNumberFormat="1" applyFont="1" applyFill="1" applyBorder="1" applyAlignment="1">
      <alignment horizontal="center"/>
    </xf>
    <xf numFmtId="173" fontId="35" fillId="18" borderId="33" xfId="0" applyNumberFormat="1" applyFont="1" applyFill="1" applyBorder="1" applyAlignment="1">
      <alignment horizontal="center"/>
    </xf>
    <xf numFmtId="0" fontId="35" fillId="18" borderId="21" xfId="0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3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71" fontId="12" fillId="3" borderId="1" xfId="0" applyNumberFormat="1" applyFont="1" applyFill="1" applyBorder="1" applyAlignment="1">
      <alignment horizontal="center"/>
    </xf>
    <xf numFmtId="43" fontId="27" fillId="15" borderId="0" xfId="1" applyFont="1" applyFill="1"/>
    <xf numFmtId="8" fontId="21" fillId="3" borderId="1" xfId="0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70" fontId="9" fillId="0" borderId="0" xfId="0" applyNumberFormat="1" applyFont="1" applyFill="1"/>
    <xf numFmtId="0" fontId="5" fillId="0" borderId="0" xfId="1" applyNumberFormat="1" applyFont="1" applyFill="1" applyBorder="1" applyAlignment="1">
      <alignment horizontal="center" vertical="center" wrapText="1"/>
    </xf>
    <xf numFmtId="170" fontId="8" fillId="0" borderId="0" xfId="0" applyNumberFormat="1" applyFont="1" applyFill="1" applyBorder="1"/>
    <xf numFmtId="170" fontId="9" fillId="0" borderId="0" xfId="0" applyNumberFormat="1" applyFont="1" applyFill="1" applyBorder="1" applyAlignment="1">
      <alignment horizontal="center"/>
    </xf>
    <xf numFmtId="170" fontId="6" fillId="0" borderId="0" xfId="1" applyNumberFormat="1" applyFont="1" applyFill="1" applyBorder="1" applyAlignment="1">
      <alignment vertical="center"/>
    </xf>
    <xf numFmtId="0" fontId="4" fillId="18" borderId="0" xfId="0" applyFont="1" applyFill="1"/>
    <xf numFmtId="39" fontId="0" fillId="0" borderId="0" xfId="0" applyNumberFormat="1"/>
    <xf numFmtId="0" fontId="5" fillId="0" borderId="0" xfId="0" applyFont="1" applyBorder="1" applyAlignment="1">
      <alignment vertical="center"/>
    </xf>
    <xf numFmtId="43" fontId="5" fillId="0" borderId="0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wrapText="1"/>
    </xf>
    <xf numFmtId="0" fontId="6" fillId="5" borderId="0" xfId="0" applyFont="1" applyFill="1" applyBorder="1" applyAlignment="1">
      <alignment horizontal="center" wrapText="1"/>
    </xf>
    <xf numFmtId="170" fontId="6" fillId="5" borderId="0" xfId="1" applyNumberFormat="1" applyFont="1" applyFill="1" applyBorder="1" applyAlignment="1">
      <alignment vertical="center"/>
    </xf>
    <xf numFmtId="49" fontId="6" fillId="5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wrapText="1"/>
    </xf>
    <xf numFmtId="0" fontId="6" fillId="6" borderId="0" xfId="0" applyFont="1" applyFill="1" applyBorder="1" applyAlignment="1">
      <alignment horizontal="center" vertical="center" wrapText="1"/>
    </xf>
    <xf numFmtId="170" fontId="6" fillId="6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170" fontId="6" fillId="2" borderId="0" xfId="1" applyNumberFormat="1" applyFont="1" applyFill="1" applyBorder="1" applyAlignment="1">
      <alignment vertical="center"/>
    </xf>
    <xf numFmtId="0" fontId="0" fillId="2" borderId="0" xfId="0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170" fontId="7" fillId="5" borderId="0" xfId="0" applyNumberFormat="1" applyFont="1" applyFill="1" applyBorder="1" applyAlignment="1">
      <alignment vertical="center"/>
    </xf>
    <xf numFmtId="170" fontId="8" fillId="5" borderId="0" xfId="0" applyNumberFormat="1" applyFont="1" applyFill="1" applyBorder="1"/>
    <xf numFmtId="170" fontId="9" fillId="5" borderId="0" xfId="0" applyNumberFormat="1" applyFont="1" applyFill="1" applyBorder="1" applyAlignment="1">
      <alignment horizontal="center" vertical="center"/>
    </xf>
    <xf numFmtId="170" fontId="0" fillId="5" borderId="0" xfId="0" applyNumberFormat="1" applyFill="1" applyBorder="1"/>
    <xf numFmtId="49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wrapText="1"/>
    </xf>
    <xf numFmtId="0" fontId="38" fillId="5" borderId="0" xfId="0" applyFont="1" applyFill="1" applyBorder="1" applyAlignment="1">
      <alignment horizontal="center" wrapText="1"/>
    </xf>
    <xf numFmtId="170" fontId="38" fillId="5" borderId="0" xfId="1" applyNumberFormat="1" applyFont="1" applyFill="1" applyBorder="1" applyAlignment="1">
      <alignment vertical="center"/>
    </xf>
    <xf numFmtId="170" fontId="38" fillId="5" borderId="0" xfId="0" applyNumberFormat="1" applyFont="1" applyFill="1" applyBorder="1" applyAlignment="1">
      <alignment vertical="center"/>
    </xf>
    <xf numFmtId="170" fontId="42" fillId="5" borderId="0" xfId="0" applyNumberFormat="1" applyFont="1" applyFill="1" applyBorder="1"/>
    <xf numFmtId="170" fontId="43" fillId="5" borderId="0" xfId="0" applyNumberFormat="1" applyFont="1" applyFill="1" applyBorder="1" applyAlignment="1">
      <alignment vertical="center"/>
    </xf>
    <xf numFmtId="170" fontId="44" fillId="5" borderId="0" xfId="0" applyNumberFormat="1" applyFont="1" applyFill="1" applyBorder="1"/>
    <xf numFmtId="170" fontId="9" fillId="5" borderId="0" xfId="0" applyNumberFormat="1" applyFont="1" applyFill="1" applyBorder="1" applyAlignment="1">
      <alignment horizontal="center"/>
    </xf>
    <xf numFmtId="170" fontId="9" fillId="6" borderId="0" xfId="0" applyNumberFormat="1" applyFont="1" applyFill="1" applyBorder="1" applyAlignment="1">
      <alignment horizontal="center"/>
    </xf>
    <xf numFmtId="170" fontId="0" fillId="6" borderId="0" xfId="0" applyNumberFormat="1" applyFill="1" applyBorder="1"/>
    <xf numFmtId="170" fontId="7" fillId="6" borderId="0" xfId="0" applyNumberFormat="1" applyFont="1" applyFill="1" applyBorder="1"/>
    <xf numFmtId="170" fontId="8" fillId="6" borderId="0" xfId="0" applyNumberFormat="1" applyFont="1" applyFill="1" applyBorder="1"/>
    <xf numFmtId="170" fontId="6" fillId="2" borderId="0" xfId="1" applyNumberFormat="1" applyFont="1" applyFill="1" applyBorder="1" applyAlignment="1"/>
    <xf numFmtId="170" fontId="7" fillId="2" borderId="0" xfId="0" applyNumberFormat="1" applyFont="1" applyFill="1" applyBorder="1"/>
    <xf numFmtId="170" fontId="8" fillId="2" borderId="0" xfId="0" applyNumberFormat="1" applyFont="1" applyFill="1" applyBorder="1"/>
    <xf numFmtId="170" fontId="9" fillId="2" borderId="0" xfId="0" applyNumberFormat="1" applyFont="1" applyFill="1" applyBorder="1" applyAlignment="1">
      <alignment horizontal="center"/>
    </xf>
    <xf numFmtId="170" fontId="0" fillId="2" borderId="0" xfId="0" applyNumberFormat="1" applyFill="1" applyBorder="1"/>
    <xf numFmtId="170" fontId="10" fillId="2" borderId="0" xfId="1" applyNumberFormat="1" applyFont="1" applyFill="1" applyBorder="1" applyAlignment="1">
      <alignment vertical="center"/>
    </xf>
    <xf numFmtId="43" fontId="11" fillId="0" borderId="0" xfId="0" applyNumberFormat="1" applyFont="1" applyBorder="1"/>
    <xf numFmtId="170" fontId="11" fillId="0" borderId="0" xfId="0" applyNumberFormat="1" applyFont="1" applyBorder="1"/>
    <xf numFmtId="0" fontId="21" fillId="0" borderId="0" xfId="0" applyFont="1" applyFill="1" applyBorder="1" applyAlignment="1">
      <alignment horizontal="center"/>
    </xf>
    <xf numFmtId="43" fontId="21" fillId="0" borderId="0" xfId="1" applyFont="1" applyFill="1" applyBorder="1"/>
    <xf numFmtId="43" fontId="21" fillId="0" borderId="0" xfId="0" applyNumberFormat="1" applyFont="1" applyFill="1" applyBorder="1"/>
    <xf numFmtId="43" fontId="22" fillId="0" borderId="0" xfId="1" applyFont="1" applyFill="1" applyBorder="1"/>
    <xf numFmtId="0" fontId="41" fillId="0" borderId="0" xfId="0" applyFont="1" applyBorder="1" applyAlignment="1"/>
    <xf numFmtId="43" fontId="34" fillId="0" borderId="1" xfId="1" applyFont="1" applyFill="1" applyBorder="1" applyAlignment="1">
      <alignment horizontal="left" wrapText="1"/>
    </xf>
    <xf numFmtId="43" fontId="34" fillId="0" borderId="1" xfId="1" applyFont="1" applyFill="1" applyBorder="1" applyAlignment="1">
      <alignment horizontal="left" vertical="center" wrapText="1"/>
    </xf>
    <xf numFmtId="0" fontId="21" fillId="19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wrapText="1"/>
    </xf>
    <xf numFmtId="0" fontId="41" fillId="0" borderId="1" xfId="0" applyFont="1" applyBorder="1"/>
    <xf numFmtId="43" fontId="21" fillId="0" borderId="0" xfId="1" applyFont="1"/>
    <xf numFmtId="8" fontId="41" fillId="2" borderId="1" xfId="0" applyNumberFormat="1" applyFont="1" applyFill="1" applyBorder="1"/>
    <xf numFmtId="10" fontId="41" fillId="7" borderId="1" xfId="2" applyNumberFormat="1" applyFont="1" applyFill="1" applyBorder="1"/>
    <xf numFmtId="0" fontId="25" fillId="19" borderId="19" xfId="0" applyFont="1" applyFill="1" applyBorder="1" applyAlignment="1">
      <alignment horizontal="center"/>
    </xf>
    <xf numFmtId="164" fontId="0" fillId="0" borderId="0" xfId="0" applyNumberFormat="1"/>
    <xf numFmtId="10" fontId="21" fillId="0" borderId="1" xfId="0" applyNumberFormat="1" applyFont="1" applyFill="1" applyBorder="1"/>
    <xf numFmtId="169" fontId="41" fillId="0" borderId="1" xfId="0" applyNumberFormat="1" applyFont="1" applyFill="1" applyBorder="1"/>
    <xf numFmtId="9" fontId="41" fillId="2" borderId="1" xfId="2" applyFont="1" applyFill="1" applyBorder="1"/>
    <xf numFmtId="10" fontId="0" fillId="0" borderId="0" xfId="0" applyNumberFormat="1" applyFill="1"/>
    <xf numFmtId="9" fontId="0" fillId="0" borderId="0" xfId="0" applyNumberFormat="1" applyFill="1"/>
    <xf numFmtId="0" fontId="21" fillId="3" borderId="0" xfId="0" applyFont="1" applyFill="1" applyBorder="1" applyAlignment="1">
      <alignment wrapText="1"/>
    </xf>
    <xf numFmtId="43" fontId="21" fillId="3" borderId="0" xfId="0" applyNumberFormat="1" applyFont="1" applyFill="1"/>
    <xf numFmtId="43" fontId="25" fillId="3" borderId="0" xfId="0" applyNumberFormat="1" applyFont="1" applyFill="1"/>
    <xf numFmtId="169" fontId="21" fillId="3" borderId="1" xfId="2" applyNumberFormat="1" applyFont="1" applyFill="1" applyBorder="1"/>
    <xf numFmtId="0" fontId="21" fillId="2" borderId="1" xfId="0" applyFont="1" applyFill="1" applyBorder="1"/>
    <xf numFmtId="0" fontId="21" fillId="0" borderId="1" xfId="0" applyFont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10" fontId="21" fillId="0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3" borderId="0" xfId="0" applyFont="1" applyFill="1" applyAlignment="1">
      <alignment horizontal="center" vertical="center" wrapText="1"/>
    </xf>
    <xf numFmtId="43" fontId="0" fillId="0" borderId="8" xfId="1" applyFont="1" applyBorder="1" applyAlignment="1">
      <alignment horizontal="center" vertical="center" wrapText="1"/>
    </xf>
    <xf numFmtId="43" fontId="0" fillId="0" borderId="9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3" fontId="26" fillId="3" borderId="0" xfId="1" applyFont="1" applyFill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5" fillId="18" borderId="2" xfId="0" applyFont="1" applyFill="1" applyBorder="1" applyAlignment="1">
      <alignment horizontal="center" vertical="center"/>
    </xf>
    <xf numFmtId="0" fontId="35" fillId="18" borderId="24" xfId="0" applyFont="1" applyFill="1" applyBorder="1" applyAlignment="1">
      <alignment horizontal="center" vertical="center"/>
    </xf>
    <xf numFmtId="0" fontId="35" fillId="18" borderId="5" xfId="0" applyFont="1" applyFill="1" applyBorder="1" applyAlignment="1">
      <alignment horizontal="center" vertical="center"/>
    </xf>
    <xf numFmtId="172" fontId="35" fillId="18" borderId="22" xfId="0" applyNumberFormat="1" applyFont="1" applyFill="1" applyBorder="1" applyAlignment="1">
      <alignment horizontal="center" vertical="center"/>
    </xf>
    <xf numFmtId="172" fontId="35" fillId="18" borderId="26" xfId="0" applyNumberFormat="1" applyFont="1" applyFill="1" applyBorder="1" applyAlignment="1">
      <alignment horizontal="center" vertical="center"/>
    </xf>
    <xf numFmtId="172" fontId="35" fillId="18" borderId="31" xfId="0" applyNumberFormat="1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30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/>
    </xf>
    <xf numFmtId="0" fontId="41" fillId="19" borderId="8" xfId="0" applyFont="1" applyFill="1" applyBorder="1" applyAlignment="1">
      <alignment horizontal="center" vertical="center" wrapText="1"/>
    </xf>
    <xf numFmtId="0" fontId="41" fillId="19" borderId="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</cellXfs>
  <cellStyles count="6">
    <cellStyle name="Hipervínculo" xfId="4" builtinId="8"/>
    <cellStyle name="Millares" xfId="1" builtinId="3"/>
    <cellStyle name="Millares 2" xfId="3" xr:uid="{00000000-0005-0000-0000-000002000000}"/>
    <cellStyle name="Millares 3" xfId="5" xr:uid="{00000000-0005-0000-0000-0000030000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00"/>
      <color rgb="FFFFFF99"/>
      <color rgb="FFFF66CC"/>
      <color rgb="FF00CC00"/>
      <color rgb="FFFF66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gall/Downloads/CORRIDA%20FINANCIERA%20PROYECTO%20RIOBAMB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Caja"/>
      <sheetName val="Financiamiento"/>
    </sheetNames>
    <sheetDataSet>
      <sheetData sheetId="0">
        <row r="58">
          <cell r="D58">
            <v>2589200.4927319563</v>
          </cell>
          <cell r="E58">
            <v>4588218.0623076102</v>
          </cell>
          <cell r="F58">
            <v>7307861.6854404556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9"/>
  <sheetViews>
    <sheetView tabSelected="1" workbookViewId="0">
      <selection activeCell="B25" sqref="B25"/>
    </sheetView>
  </sheetViews>
  <sheetFormatPr baseColWidth="10" defaultColWidth="11.42578125" defaultRowHeight="15" x14ac:dyDescent="0.25"/>
  <cols>
    <col min="2" max="2" width="59.42578125" customWidth="1"/>
    <col min="3" max="3" width="25.7109375" customWidth="1"/>
    <col min="4" max="5" width="13.5703125" bestFit="1" customWidth="1"/>
    <col min="7" max="7" width="13.5703125" bestFit="1" customWidth="1"/>
  </cols>
  <sheetData>
    <row r="1" spans="1:10" x14ac:dyDescent="0.25">
      <c r="A1" s="130"/>
      <c r="B1" s="130"/>
      <c r="C1" s="130"/>
      <c r="D1" s="130"/>
    </row>
    <row r="2" spans="1:10" ht="3" customHeight="1" x14ac:dyDescent="0.3">
      <c r="A2" s="361" t="s">
        <v>100</v>
      </c>
      <c r="B2" s="361"/>
      <c r="C2" s="361"/>
      <c r="D2" s="361"/>
      <c r="J2" s="75"/>
    </row>
    <row r="3" spans="1:10" ht="18.75" hidden="1" x14ac:dyDescent="0.3">
      <c r="A3" s="361" t="s">
        <v>103</v>
      </c>
      <c r="B3" s="361"/>
      <c r="C3" s="361"/>
      <c r="D3" s="361"/>
      <c r="J3" s="75"/>
    </row>
    <row r="4" spans="1:10" hidden="1" x14ac:dyDescent="0.25">
      <c r="A4" s="130"/>
      <c r="B4" s="130"/>
      <c r="C4" s="130"/>
      <c r="D4" s="130"/>
    </row>
    <row r="5" spans="1:10" x14ac:dyDescent="0.25">
      <c r="A5" s="27" t="s">
        <v>88</v>
      </c>
      <c r="B5" s="27" t="s">
        <v>69</v>
      </c>
      <c r="C5" s="27" t="s">
        <v>277</v>
      </c>
      <c r="D5" s="27" t="s">
        <v>101</v>
      </c>
    </row>
    <row r="6" spans="1:10" x14ac:dyDescent="0.25">
      <c r="A6" s="171">
        <v>1</v>
      </c>
      <c r="B6" s="120" t="s">
        <v>206</v>
      </c>
      <c r="C6" s="121">
        <f>'Ing Mejora Recaudacion'!T9</f>
        <v>10342643.730984926</v>
      </c>
      <c r="D6" s="122">
        <f>C6/$C$10</f>
        <v>0.23329034734152934</v>
      </c>
      <c r="E6" s="8"/>
      <c r="G6" s="7"/>
    </row>
    <row r="7" spans="1:10" x14ac:dyDescent="0.25">
      <c r="A7" s="171">
        <v>2</v>
      </c>
      <c r="B7" s="120" t="s">
        <v>102</v>
      </c>
      <c r="C7" s="121">
        <f>+'Ing Mejora Recaudacion'!T10</f>
        <v>14628467.634421436</v>
      </c>
      <c r="D7" s="122">
        <f>C7/$C$10</f>
        <v>0.32996208554343276</v>
      </c>
      <c r="E7" s="8"/>
    </row>
    <row r="8" spans="1:10" x14ac:dyDescent="0.25">
      <c r="A8" s="171">
        <v>3</v>
      </c>
      <c r="B8" s="120" t="s">
        <v>137</v>
      </c>
      <c r="C8" s="121">
        <f>'Ing Mejora Recaudacion'!T11</f>
        <v>10425533.696587715</v>
      </c>
      <c r="D8" s="122">
        <f>C8/$C$10</f>
        <v>0.23516002683253515</v>
      </c>
      <c r="E8" s="8"/>
    </row>
    <row r="9" spans="1:10" x14ac:dyDescent="0.25">
      <c r="A9" s="171">
        <v>4</v>
      </c>
      <c r="B9" s="120" t="s">
        <v>273</v>
      </c>
      <c r="C9" s="121">
        <f>'Ing Mejora Recaudacion'!T8</f>
        <v>8937138.3493000008</v>
      </c>
      <c r="D9" s="122">
        <f>C9/$C$10</f>
        <v>0.20158754028250286</v>
      </c>
    </row>
    <row r="10" spans="1:10" x14ac:dyDescent="0.25">
      <c r="A10" s="171"/>
      <c r="B10" s="59" t="s">
        <v>278</v>
      </c>
      <c r="C10" s="172">
        <f>SUM(C6:C9)</f>
        <v>44333783.411294073</v>
      </c>
      <c r="D10" s="173">
        <f>SUM(D6:D9)</f>
        <v>1</v>
      </c>
    </row>
    <row r="11" spans="1:10" x14ac:dyDescent="0.25">
      <c r="A11" s="179">
        <v>5</v>
      </c>
      <c r="B11" s="120" t="s">
        <v>274</v>
      </c>
      <c r="C11" s="174">
        <f>'Ing Mejora Recaudacion'!T19</f>
        <v>41974635.865818344</v>
      </c>
      <c r="D11" s="120"/>
    </row>
    <row r="12" spans="1:10" ht="30" x14ac:dyDescent="0.25">
      <c r="A12" s="171">
        <v>6</v>
      </c>
      <c r="B12" s="178" t="s">
        <v>275</v>
      </c>
      <c r="C12" s="176">
        <f>'Ing Mejora Recaudacion'!T27</f>
        <v>3789282.8490059352</v>
      </c>
      <c r="D12" s="177"/>
    </row>
    <row r="13" spans="1:10" x14ac:dyDescent="0.25">
      <c r="A13" s="142"/>
      <c r="B13" s="180" t="s">
        <v>47</v>
      </c>
      <c r="C13" s="180"/>
      <c r="D13" s="181">
        <f>C11+C12</f>
        <v>45763918.714824282</v>
      </c>
    </row>
    <row r="14" spans="1:10" x14ac:dyDescent="0.25">
      <c r="A14" s="171"/>
      <c r="B14" s="142"/>
      <c r="C14" s="142"/>
      <c r="D14" s="142"/>
    </row>
    <row r="15" spans="1:10" x14ac:dyDescent="0.25">
      <c r="J15" s="17"/>
    </row>
    <row r="16" spans="1:10" x14ac:dyDescent="0.25">
      <c r="A16" s="142"/>
      <c r="B16" s="53"/>
      <c r="C16" s="53"/>
      <c r="D16" s="53"/>
      <c r="J16" s="17"/>
    </row>
    <row r="17" spans="1:10" x14ac:dyDescent="0.25">
      <c r="J17" s="17"/>
    </row>
    <row r="18" spans="1:10" x14ac:dyDescent="0.25">
      <c r="A18" s="53"/>
      <c r="B18" s="105" t="s">
        <v>183</v>
      </c>
      <c r="C18" s="105"/>
      <c r="D18" s="105"/>
      <c r="J18" s="17"/>
    </row>
    <row r="19" spans="1:10" x14ac:dyDescent="0.25">
      <c r="A19" s="53"/>
      <c r="B19" s="105" t="s">
        <v>184</v>
      </c>
      <c r="C19" s="105"/>
      <c r="J19" s="17"/>
    </row>
    <row r="20" spans="1:10" ht="18.75" x14ac:dyDescent="0.3">
      <c r="C20" s="9"/>
      <c r="D20" s="7">
        <f>'Ing Mejora Recaudacion'!T30</f>
        <v>45763918.714824282</v>
      </c>
      <c r="J20" s="75"/>
    </row>
    <row r="21" spans="1:10" ht="18.75" x14ac:dyDescent="0.3">
      <c r="J21" s="75"/>
    </row>
    <row r="22" spans="1:10" x14ac:dyDescent="0.25">
      <c r="J22" s="17"/>
    </row>
    <row r="23" spans="1:10" x14ac:dyDescent="0.25">
      <c r="J23" s="21"/>
    </row>
    <row r="24" spans="1:10" x14ac:dyDescent="0.25">
      <c r="J24" s="74"/>
    </row>
    <row r="25" spans="1:10" x14ac:dyDescent="0.25">
      <c r="J25" s="74"/>
    </row>
    <row r="26" spans="1:10" x14ac:dyDescent="0.25">
      <c r="J26" s="74"/>
    </row>
    <row r="27" spans="1:10" x14ac:dyDescent="0.25">
      <c r="J27" s="74"/>
    </row>
    <row r="28" spans="1:10" x14ac:dyDescent="0.25">
      <c r="J28" s="74"/>
    </row>
    <row r="29" spans="1:10" x14ac:dyDescent="0.25">
      <c r="J29" s="17"/>
    </row>
    <row r="30" spans="1:10" x14ac:dyDescent="0.25">
      <c r="J30" s="73"/>
    </row>
    <row r="31" spans="1:10" x14ac:dyDescent="0.25">
      <c r="J31" s="17"/>
    </row>
    <row r="32" spans="1:10" x14ac:dyDescent="0.25">
      <c r="J32" s="72"/>
    </row>
    <row r="33" spans="10:10" x14ac:dyDescent="0.25">
      <c r="J33" s="72"/>
    </row>
    <row r="34" spans="10:10" x14ac:dyDescent="0.25">
      <c r="J34" s="55"/>
    </row>
    <row r="35" spans="10:10" x14ac:dyDescent="0.25">
      <c r="J35" s="48"/>
    </row>
    <row r="36" spans="10:10" x14ac:dyDescent="0.25">
      <c r="J36" s="72"/>
    </row>
    <row r="37" spans="10:10" x14ac:dyDescent="0.25">
      <c r="J37" s="72"/>
    </row>
    <row r="38" spans="10:10" x14ac:dyDescent="0.25">
      <c r="J38" s="72"/>
    </row>
    <row r="39" spans="10:10" x14ac:dyDescent="0.25">
      <c r="J39" s="72"/>
    </row>
  </sheetData>
  <mergeCells count="2">
    <mergeCell ref="A2:D2"/>
    <mergeCell ref="A3:D3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XFB108"/>
  <sheetViews>
    <sheetView zoomScaleNormal="100" workbookViewId="0">
      <selection activeCell="J64" sqref="J64"/>
    </sheetView>
  </sheetViews>
  <sheetFormatPr baseColWidth="10" defaultColWidth="11.42578125" defaultRowHeight="15" x14ac:dyDescent="0.25"/>
  <cols>
    <col min="1" max="1" width="8.5703125" style="72" customWidth="1"/>
    <col min="2" max="2" width="40.42578125" style="72" customWidth="1"/>
    <col min="3" max="3" width="17.7109375" style="72" customWidth="1"/>
    <col min="4" max="4" width="15.85546875" style="72" customWidth="1"/>
    <col min="5" max="5" width="17.42578125" style="72" customWidth="1"/>
    <col min="6" max="6" width="16.28515625" style="72" customWidth="1"/>
    <col min="7" max="12" width="14.5703125" style="72" customWidth="1"/>
    <col min="13" max="13" width="13.5703125" style="72" customWidth="1"/>
    <col min="14" max="14" width="17.5703125" style="72" customWidth="1"/>
    <col min="15" max="15" width="15.42578125" style="72" customWidth="1"/>
    <col min="16" max="16384" width="11.42578125" style="72"/>
  </cols>
  <sheetData>
    <row r="2" spans="2:14 16382:16382" x14ac:dyDescent="0.25"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2:14 16382:16382" x14ac:dyDescent="0.25">
      <c r="B3" s="97"/>
      <c r="C3" s="199">
        <v>2020</v>
      </c>
      <c r="D3" s="199">
        <v>2021</v>
      </c>
      <c r="E3" s="199">
        <v>2022</v>
      </c>
      <c r="F3" s="199">
        <v>2023</v>
      </c>
      <c r="G3" s="199">
        <v>2024</v>
      </c>
      <c r="H3" s="199">
        <v>2025</v>
      </c>
      <c r="I3" s="199">
        <v>2026</v>
      </c>
      <c r="J3" s="199">
        <v>2027</v>
      </c>
      <c r="K3" s="199">
        <v>2028</v>
      </c>
      <c r="L3" s="199">
        <v>2029</v>
      </c>
      <c r="M3" s="199">
        <v>2030</v>
      </c>
      <c r="N3" s="196" t="s">
        <v>236</v>
      </c>
    </row>
    <row r="4" spans="2:14 16382:16382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196"/>
    </row>
    <row r="5" spans="2:14 16382:16382" x14ac:dyDescent="0.25">
      <c r="B5" s="97" t="s">
        <v>392</v>
      </c>
      <c r="C5" s="167">
        <f>INVERSIONES!E37*INVERSIONES!$F$33</f>
        <v>1600105.6768228316</v>
      </c>
      <c r="D5" s="167">
        <f>INVERSIONES!F37*INVERSIONES!$F$33</f>
        <v>5100856.583825836</v>
      </c>
      <c r="E5" s="167">
        <f>INVERSIONES!G37*INVERSIONES!$F$33</f>
        <v>3612562.2063801209</v>
      </c>
      <c r="F5" s="167">
        <f>INVERSIONES!H37*INVERSIONES!$F$33</f>
        <v>392694.39677401748</v>
      </c>
      <c r="G5" s="167">
        <f>INVERSIONES!I37*INVERSIONES!$F$33</f>
        <v>108220.70825810899</v>
      </c>
      <c r="H5" s="167">
        <f>INVERSIONES!J37*INVERSIONES!$F$33</f>
        <v>107537.11732417533</v>
      </c>
      <c r="I5" s="167">
        <f>INVERSIONES!K37*INVERSIONES!$F$33</f>
        <v>107529.13617499033</v>
      </c>
      <c r="J5" s="167">
        <f>INVERSIONES!L37*INVERSIONES!$F$33</f>
        <v>106582.62520523281</v>
      </c>
      <c r="K5" s="167">
        <f>INVERSIONES!M37*INVERSIONES!$F$33</f>
        <v>106325.76782884797</v>
      </c>
      <c r="L5" s="167">
        <f>INVERSIONES!N37*INVERSIONES!$F$33</f>
        <v>104718.82111106382</v>
      </c>
      <c r="M5" s="167">
        <f>INVERSIONES!O37*INVERSIONES!$F$33</f>
        <v>104186.75029477282</v>
      </c>
      <c r="N5" s="102">
        <f>SUM(C5:M5)</f>
        <v>11451319.790000001</v>
      </c>
    </row>
    <row r="6" spans="2:14 16382:16382" x14ac:dyDescent="0.25">
      <c r="B6" s="97" t="s">
        <v>393</v>
      </c>
      <c r="C6" s="167">
        <f>INVERSIONES!E37*INVERSIONES!$G$31</f>
        <v>1160581.3695105009</v>
      </c>
      <c r="D6" s="167">
        <f>INVERSIONES!F37*INVERSIONES!$G$31</f>
        <v>3699730.0900074984</v>
      </c>
      <c r="E6" s="167">
        <f>INVERSIONES!G37*INVERSIONES!$G$31</f>
        <v>2620247.1834532106</v>
      </c>
      <c r="F6" s="167">
        <f>INVERSIONES!H37*INVERSIONES!$G$31</f>
        <v>284827.31322598242</v>
      </c>
      <c r="G6" s="167">
        <f>INVERSIONES!I37*INVERSIONES!$G$31</f>
        <v>78494.151741890979</v>
      </c>
      <c r="H6" s="167">
        <f>INVERSIONES!J37*INVERSIONES!$G$31</f>
        <v>77998.332675824669</v>
      </c>
      <c r="I6" s="167">
        <f>INVERSIONES!K37*INVERSIONES!$G$31</f>
        <v>77992.543825009649</v>
      </c>
      <c r="J6" s="167">
        <f>INVERSIONES!L37*INVERSIONES!$G$31</f>
        <v>77306.024794767174</v>
      </c>
      <c r="K6" s="167">
        <f>INVERSIONES!M37*INVERSIONES!$G$31</f>
        <v>77119.722171152011</v>
      </c>
      <c r="L6" s="167">
        <f>INVERSIONES!N37*INVERSIONES!$G$31</f>
        <v>75954.178888936149</v>
      </c>
      <c r="M6" s="167">
        <f>INVERSIONES!O37*INVERSIONES!$G$31</f>
        <v>75568.259705227159</v>
      </c>
      <c r="N6" s="102">
        <f>SUM(C6:M6)</f>
        <v>8305819.1700000018</v>
      </c>
    </row>
    <row r="7" spans="2:14 16382:16382" x14ac:dyDescent="0.25">
      <c r="B7" s="97" t="s">
        <v>398</v>
      </c>
      <c r="C7" s="167">
        <f>+INVERSIONES!E39</f>
        <v>364181.8009090909</v>
      </c>
      <c r="D7" s="167">
        <f>+INVERSIONES!F39</f>
        <v>364181.8009090909</v>
      </c>
      <c r="E7" s="167">
        <f>+INVERSIONES!G39</f>
        <v>364181.8009090909</v>
      </c>
      <c r="F7" s="167">
        <f>+INVERSIONES!H39</f>
        <v>364181.8009090909</v>
      </c>
      <c r="G7" s="167">
        <f>+INVERSIONES!I39</f>
        <v>364181.8009090909</v>
      </c>
      <c r="H7" s="167">
        <f>+INVERSIONES!J39</f>
        <v>364181.8009090909</v>
      </c>
      <c r="I7" s="167">
        <f>+INVERSIONES!K39</f>
        <v>364181.8009090909</v>
      </c>
      <c r="J7" s="167">
        <f>+INVERSIONES!L39</f>
        <v>364181.8009090909</v>
      </c>
      <c r="K7" s="167">
        <f>+INVERSIONES!M39</f>
        <v>364181.8009090909</v>
      </c>
      <c r="L7" s="167">
        <f>+INVERSIONES!N39</f>
        <v>364181.8009090909</v>
      </c>
      <c r="M7" s="167">
        <f>+INVERSIONES!O39</f>
        <v>364181.8009090909</v>
      </c>
      <c r="N7" s="102">
        <f>SUM(C7:M7)</f>
        <v>4005999.8099999991</v>
      </c>
    </row>
    <row r="8" spans="2:14 16382:16382" x14ac:dyDescent="0.25">
      <c r="B8" s="97" t="s">
        <v>45</v>
      </c>
      <c r="C8" s="167">
        <f>SUM(C5:C7)</f>
        <v>3124868.8472424233</v>
      </c>
      <c r="D8" s="167">
        <f t="shared" ref="D8:M8" si="0">SUM(D5:D7)</f>
        <v>9164768.4747424256</v>
      </c>
      <c r="E8" s="167">
        <f t="shared" si="0"/>
        <v>6596991.1907424219</v>
      </c>
      <c r="F8" s="167">
        <f t="shared" si="0"/>
        <v>1041703.5109090909</v>
      </c>
      <c r="G8" s="167">
        <f t="shared" si="0"/>
        <v>550896.66090909089</v>
      </c>
      <c r="H8" s="167">
        <f t="shared" si="0"/>
        <v>549717.25090909097</v>
      </c>
      <c r="I8" s="167">
        <f t="shared" si="0"/>
        <v>549703.48090909095</v>
      </c>
      <c r="J8" s="167">
        <f t="shared" si="0"/>
        <v>548070.45090909093</v>
      </c>
      <c r="K8" s="167">
        <f t="shared" si="0"/>
        <v>547627.29090909089</v>
      </c>
      <c r="L8" s="167">
        <f t="shared" si="0"/>
        <v>544854.8009090909</v>
      </c>
      <c r="M8" s="167">
        <f t="shared" si="0"/>
        <v>543936.81090909091</v>
      </c>
      <c r="N8" s="102">
        <f>SUM(C8:M8)</f>
        <v>23763138.769999996</v>
      </c>
    </row>
    <row r="9" spans="2:14 16382:16382" x14ac:dyDescent="0.25">
      <c r="B9" s="9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02"/>
    </row>
    <row r="10" spans="2:14 16382:16382" x14ac:dyDescent="0.25">
      <c r="B10" s="100" t="s">
        <v>389</v>
      </c>
      <c r="C10" s="167">
        <f>+'FLUJO CAJA '!C4</f>
        <v>0</v>
      </c>
      <c r="D10" s="167">
        <f>+'FLUJO CAJA '!D4</f>
        <v>4171197.3623487409</v>
      </c>
      <c r="E10" s="167">
        <f>+'FLUJO CAJA '!E4</f>
        <v>3366547.6402289239</v>
      </c>
      <c r="F10" s="167">
        <f>+'FLUJO CAJA '!F4</f>
        <v>3875713.0283394093</v>
      </c>
      <c r="G10" s="167">
        <f>+'FLUJO CAJA '!G4</f>
        <v>4265338.1170667261</v>
      </c>
      <c r="H10" s="167">
        <f>+'FLUJO CAJA '!H4</f>
        <v>4657917.4627212575</v>
      </c>
      <c r="I10" s="167">
        <f>+'FLUJO CAJA '!I4</f>
        <v>4796604.4115403462</v>
      </c>
      <c r="J10" s="167">
        <f>+'FLUJO CAJA '!J4</f>
        <v>4931612.2001644075</v>
      </c>
      <c r="K10" s="167">
        <f>+'FLUJO CAJA '!K4</f>
        <v>5064605.5452037081</v>
      </c>
      <c r="L10" s="167">
        <f>+'FLUJO CAJA '!L4</f>
        <v>5370079.2994516212</v>
      </c>
      <c r="M10" s="167">
        <f>+'FLUJO CAJA '!M4</f>
        <v>5264303.6477591414</v>
      </c>
      <c r="N10" s="167">
        <f>+'FLUJO CAJA '!N4</f>
        <v>45763918.714824282</v>
      </c>
    </row>
    <row r="11" spans="2:14 16382:16382" x14ac:dyDescent="0.25">
      <c r="B11" s="100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02"/>
    </row>
    <row r="12" spans="2:14 16382:16382" x14ac:dyDescent="0.25">
      <c r="B12" s="101" t="s">
        <v>287</v>
      </c>
      <c r="C12" s="167">
        <f>C10-C8</f>
        <v>-3124868.8472424233</v>
      </c>
      <c r="D12" s="167">
        <f>D10-D8</f>
        <v>-4993571.1123936847</v>
      </c>
      <c r="E12" s="167">
        <f>E10-E8</f>
        <v>-3230443.550513498</v>
      </c>
      <c r="F12" s="167">
        <f>F10-F8</f>
        <v>2834009.5174303185</v>
      </c>
      <c r="G12" s="167">
        <f>G10-G8</f>
        <v>3714441.456157635</v>
      </c>
      <c r="H12" s="167">
        <f>H10-H8</f>
        <v>4108200.2118121665</v>
      </c>
      <c r="I12" s="167">
        <f>I10-I8</f>
        <v>4246900.9306312557</v>
      </c>
      <c r="J12" s="167">
        <f>J10-J8</f>
        <v>4383541.7492553163</v>
      </c>
      <c r="K12" s="167">
        <f>K10-K8</f>
        <v>4516978.2542946171</v>
      </c>
      <c r="L12" s="167">
        <f>L10-L8</f>
        <v>4825224.4985425305</v>
      </c>
      <c r="M12" s="167">
        <f>M10-M8</f>
        <v>4720366.8368500508</v>
      </c>
      <c r="N12" s="102">
        <f>N10-N8</f>
        <v>22000779.944824286</v>
      </c>
      <c r="XFB12" s="167">
        <f>XFB10-XFB8</f>
        <v>0</v>
      </c>
    </row>
    <row r="13" spans="2:14 16382:16382" x14ac:dyDescent="0.25">
      <c r="B13" s="97" t="s">
        <v>293</v>
      </c>
      <c r="C13" s="167">
        <f>NPV(C53,D10:M10)</f>
        <v>45763918.714824282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2:14 16382:16382" x14ac:dyDescent="0.25">
      <c r="B14" s="97" t="s">
        <v>288</v>
      </c>
      <c r="C14" s="186">
        <v>0.08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2:14 16382:16382" x14ac:dyDescent="0.25">
      <c r="B15" s="97" t="s">
        <v>290</v>
      </c>
      <c r="C15" s="186">
        <v>0.08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2:14 16382:16382" x14ac:dyDescent="0.25">
      <c r="B16" s="97" t="s">
        <v>311</v>
      </c>
      <c r="C16" s="186">
        <v>0.08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2:14" x14ac:dyDescent="0.25">
      <c r="B17" s="190"/>
      <c r="C17" s="191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2:14" x14ac:dyDescent="0.25">
      <c r="B18" s="97" t="s">
        <v>296</v>
      </c>
      <c r="C18" s="188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2:14" x14ac:dyDescent="0.25">
      <c r="B19" s="97" t="s">
        <v>293</v>
      </c>
      <c r="C19" s="188">
        <f>C13</f>
        <v>45763918.714824282</v>
      </c>
      <c r="D19" s="95"/>
      <c r="E19" s="95"/>
      <c r="H19" s="95"/>
      <c r="I19" s="95"/>
      <c r="J19" s="95"/>
      <c r="K19" s="95"/>
      <c r="L19" s="95"/>
      <c r="M19" s="95"/>
      <c r="N19" s="95"/>
    </row>
    <row r="20" spans="2:14" x14ac:dyDescent="0.25">
      <c r="B20" s="97" t="s">
        <v>294</v>
      </c>
      <c r="C20" s="188">
        <f>NPV(C53,D8:L8)+C8</f>
        <v>23219201.9590909</v>
      </c>
      <c r="D20" s="95"/>
      <c r="E20" s="95"/>
      <c r="H20" s="95"/>
      <c r="I20" s="95"/>
      <c r="J20" s="95"/>
      <c r="K20" s="95"/>
      <c r="L20" s="95"/>
      <c r="M20" s="95"/>
      <c r="N20" s="95"/>
    </row>
    <row r="21" spans="2:14" x14ac:dyDescent="0.25">
      <c r="B21" s="97" t="s">
        <v>295</v>
      </c>
      <c r="C21" s="188">
        <f>C19-C20</f>
        <v>22544716.755733382</v>
      </c>
      <c r="D21" s="95"/>
      <c r="E21" s="95"/>
      <c r="H21" s="95"/>
      <c r="I21" s="95"/>
      <c r="J21" s="95"/>
      <c r="K21" s="95"/>
      <c r="L21" s="95"/>
      <c r="M21" s="95"/>
      <c r="N21" s="95"/>
    </row>
    <row r="22" spans="2:14" x14ac:dyDescent="0.25">
      <c r="B22" s="184"/>
      <c r="C22" s="185"/>
      <c r="D22" s="185"/>
      <c r="E22" s="185"/>
      <c r="H22" s="185"/>
      <c r="I22" s="185"/>
      <c r="J22" s="185"/>
      <c r="K22" s="185"/>
      <c r="L22" s="185"/>
      <c r="M22" s="185"/>
      <c r="N22" s="185"/>
    </row>
    <row r="23" spans="2:14" ht="23.25" x14ac:dyDescent="0.25">
      <c r="B23" s="101" t="s">
        <v>297</v>
      </c>
      <c r="C23" s="188">
        <f>C13</f>
        <v>45763918.714824282</v>
      </c>
      <c r="D23" s="185"/>
      <c r="E23" s="185"/>
      <c r="H23" s="185"/>
      <c r="I23" s="185"/>
      <c r="J23" s="185"/>
      <c r="K23" s="185"/>
      <c r="L23" s="185"/>
      <c r="M23" s="185"/>
      <c r="N23" s="185"/>
    </row>
    <row r="24" spans="2:14" x14ac:dyDescent="0.25">
      <c r="B24" s="193" t="s">
        <v>335</v>
      </c>
      <c r="C24" s="188">
        <f>NPV(C53,D46:M46)</f>
        <v>35000000</v>
      </c>
      <c r="D24" s="185"/>
      <c r="E24" s="189"/>
      <c r="H24" s="185"/>
      <c r="I24" s="185"/>
      <c r="J24" s="185"/>
      <c r="K24" s="185"/>
      <c r="L24" s="185"/>
      <c r="M24" s="185"/>
      <c r="N24" s="185"/>
    </row>
    <row r="25" spans="2:14" x14ac:dyDescent="0.25">
      <c r="B25" s="193" t="s">
        <v>301</v>
      </c>
      <c r="C25" s="188">
        <f>C23-C24</f>
        <v>10763918.714824282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</row>
    <row r="26" spans="2:14" x14ac:dyDescent="0.25">
      <c r="B26" s="193" t="s">
        <v>320</v>
      </c>
      <c r="C26" s="188">
        <f>C24+C25</f>
        <v>45763918.714824282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</row>
    <row r="27" spans="2:14" x14ac:dyDescent="0.25">
      <c r="B27" s="193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</row>
    <row r="28" spans="2:14" x14ac:dyDescent="0.25">
      <c r="B28" s="192"/>
      <c r="C28" s="194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</row>
    <row r="29" spans="2:14" x14ac:dyDescent="0.25">
      <c r="B29" s="192"/>
      <c r="C29" s="194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</row>
    <row r="30" spans="2:14" x14ac:dyDescent="0.25">
      <c r="B30" s="97" t="s">
        <v>390</v>
      </c>
      <c r="C30" s="99">
        <f>INVERSIONES!E33</f>
        <v>11451319.789999999</v>
      </c>
      <c r="D30" s="185">
        <f>+C30*0.2</f>
        <v>2290263.9580000001</v>
      </c>
      <c r="E30" s="185"/>
      <c r="F30" s="185"/>
      <c r="G30" s="185"/>
      <c r="H30" s="185"/>
      <c r="I30" s="185"/>
      <c r="J30" s="185"/>
      <c r="K30" s="185"/>
      <c r="L30" s="185"/>
      <c r="M30" s="185"/>
      <c r="N30" s="185"/>
    </row>
    <row r="31" spans="2:14" x14ac:dyDescent="0.25">
      <c r="B31" s="97" t="s">
        <v>391</v>
      </c>
      <c r="C31" s="99">
        <f>INVERSIONES!E31+INVERSIONES!E32</f>
        <v>8305819.1699999999</v>
      </c>
      <c r="D31" s="185">
        <f>+C31*0.15</f>
        <v>1245872.8754999998</v>
      </c>
      <c r="E31" s="185"/>
      <c r="F31" s="185"/>
      <c r="G31" s="185"/>
      <c r="H31" s="185"/>
      <c r="I31" s="185"/>
      <c r="J31" s="185"/>
      <c r="K31" s="185"/>
      <c r="L31" s="185"/>
      <c r="M31" s="185"/>
      <c r="N31" s="185"/>
    </row>
    <row r="32" spans="2:14" x14ac:dyDescent="0.25">
      <c r="B32" s="97" t="s">
        <v>208</v>
      </c>
      <c r="C32" s="167">
        <f>INVERSIONES!P39</f>
        <v>4005999.8099999991</v>
      </c>
      <c r="D32" s="185">
        <f>+C32*0.15</f>
        <v>600899.97149999987</v>
      </c>
      <c r="E32" s="185"/>
      <c r="F32" s="185"/>
      <c r="G32" s="185"/>
      <c r="H32" s="185"/>
      <c r="I32" s="185"/>
      <c r="J32" s="185"/>
      <c r="K32" s="185"/>
      <c r="L32" s="185"/>
      <c r="M32" s="185"/>
      <c r="N32" s="185"/>
    </row>
    <row r="33" spans="2:15" x14ac:dyDescent="0.25">
      <c r="B33" s="97" t="s">
        <v>45</v>
      </c>
      <c r="C33" s="167">
        <f>+C32+C31+C30</f>
        <v>23763138.769999996</v>
      </c>
      <c r="D33" s="185">
        <f>+D32+D31+D30</f>
        <v>4137036.8049999997</v>
      </c>
      <c r="E33" s="185"/>
      <c r="F33" s="185"/>
      <c r="G33" s="185"/>
      <c r="H33" s="185"/>
      <c r="I33" s="185"/>
      <c r="J33" s="185"/>
      <c r="K33" s="185"/>
      <c r="L33" s="185"/>
      <c r="M33" s="185"/>
      <c r="N33" s="185"/>
    </row>
    <row r="34" spans="2:15" x14ac:dyDescent="0.25">
      <c r="B34" s="100" t="s">
        <v>394</v>
      </c>
      <c r="C34" s="167">
        <f>+N51</f>
        <v>51386331.342080027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</row>
    <row r="35" spans="2:15" x14ac:dyDescent="0.25">
      <c r="B35" s="101" t="s">
        <v>395</v>
      </c>
      <c r="C35" s="167">
        <f>+C57</f>
        <v>0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</row>
    <row r="36" spans="2:15" x14ac:dyDescent="0.25">
      <c r="B36" s="97" t="s">
        <v>396</v>
      </c>
      <c r="C36" s="167">
        <f>+N69</f>
        <v>50871541.9041491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</row>
    <row r="37" spans="2:15" x14ac:dyDescent="0.25">
      <c r="B37" s="97" t="s">
        <v>397</v>
      </c>
      <c r="C37" s="98">
        <f>+C71</f>
        <v>50871541.9041491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2:15" x14ac:dyDescent="0.25">
      <c r="B38" s="101" t="s">
        <v>283</v>
      </c>
      <c r="C38" s="356">
        <f>+C77</f>
        <v>0.16126459006107696</v>
      </c>
      <c r="D38" s="263"/>
      <c r="E38" s="185"/>
      <c r="F38" s="185"/>
      <c r="G38" s="185"/>
      <c r="H38" s="185"/>
      <c r="I38" s="185"/>
      <c r="J38" s="185"/>
      <c r="K38" s="185"/>
      <c r="L38" s="185"/>
      <c r="M38" s="185"/>
      <c r="N38" s="185"/>
    </row>
    <row r="39" spans="2:15" x14ac:dyDescent="0.25"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</row>
    <row r="40" spans="2:15" x14ac:dyDescent="0.25">
      <c r="B40" s="184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</row>
    <row r="41" spans="2:15" ht="15.75" x14ac:dyDescent="0.25">
      <c r="B41" s="353"/>
      <c r="C41" s="354"/>
      <c r="D41" s="354"/>
      <c r="E41" s="354"/>
      <c r="F41" s="355" t="s">
        <v>326</v>
      </c>
      <c r="G41" s="354"/>
      <c r="H41" s="354"/>
      <c r="I41" s="354"/>
      <c r="J41" s="354"/>
      <c r="K41" s="354"/>
      <c r="L41" s="354"/>
      <c r="M41" s="354"/>
      <c r="N41" s="354"/>
    </row>
    <row r="42" spans="2:15" x14ac:dyDescent="0.25">
      <c r="B42" s="184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</row>
    <row r="43" spans="2:15" x14ac:dyDescent="0.25">
      <c r="B43" s="53"/>
      <c r="C43" s="186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</row>
    <row r="44" spans="2:15" x14ac:dyDescent="0.25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2:15" x14ac:dyDescent="0.25">
      <c r="B45" s="342" t="s">
        <v>284</v>
      </c>
      <c r="C45" s="199">
        <v>2020</v>
      </c>
      <c r="D45" s="199">
        <v>2021</v>
      </c>
      <c r="E45" s="199">
        <v>2022</v>
      </c>
      <c r="F45" s="199">
        <v>2023</v>
      </c>
      <c r="G45" s="199">
        <v>2024</v>
      </c>
      <c r="H45" s="199">
        <v>2025</v>
      </c>
      <c r="I45" s="199">
        <v>2026</v>
      </c>
      <c r="J45" s="199">
        <v>2027</v>
      </c>
      <c r="K45" s="199">
        <v>2028</v>
      </c>
      <c r="L45" s="199">
        <v>2029</v>
      </c>
      <c r="M45" s="199">
        <v>2030</v>
      </c>
      <c r="N45" s="282" t="s">
        <v>236</v>
      </c>
    </row>
    <row r="46" spans="2:15" x14ac:dyDescent="0.25">
      <c r="B46" s="97" t="s">
        <v>324</v>
      </c>
      <c r="C46" s="97"/>
      <c r="D46" s="98">
        <v>3500000</v>
      </c>
      <c r="E46" s="98">
        <v>3050000</v>
      </c>
      <c r="F46" s="98">
        <v>3150000</v>
      </c>
      <c r="G46" s="98">
        <v>3600000</v>
      </c>
      <c r="H46" s="98">
        <v>3600000</v>
      </c>
      <c r="I46" s="98">
        <f t="shared" ref="I46:M46" si="1">+H46</f>
        <v>3600000</v>
      </c>
      <c r="J46" s="98">
        <v>3600000</v>
      </c>
      <c r="K46" s="98">
        <f t="shared" si="1"/>
        <v>3600000</v>
      </c>
      <c r="L46" s="98">
        <v>3650000</v>
      </c>
      <c r="M46" s="98">
        <f t="shared" si="1"/>
        <v>3650000</v>
      </c>
      <c r="N46" s="98">
        <f t="shared" ref="N46:N50" si="2">SUM(C46:M46)</f>
        <v>35000000</v>
      </c>
      <c r="O46" s="7"/>
    </row>
    <row r="47" spans="2:15" x14ac:dyDescent="0.25">
      <c r="B47" s="97" t="s">
        <v>289</v>
      </c>
      <c r="C47" s="98">
        <f>'G&amp;P '!F19</f>
        <v>128008.45414582653</v>
      </c>
      <c r="D47" s="98">
        <f>'G&amp;P '!G19</f>
        <v>408068.52670606691</v>
      </c>
      <c r="E47" s="98">
        <f>'G&amp;P '!H19</f>
        <v>289004.97651040967</v>
      </c>
      <c r="F47" s="98">
        <f>'G&amp;P '!I19</f>
        <v>31415.551741921401</v>
      </c>
      <c r="G47" s="98">
        <f>'G&amp;P '!J19</f>
        <v>8657.6566606487195</v>
      </c>
      <c r="H47" s="98">
        <f>'G&amp;P '!K19</f>
        <v>8602.9693859340259</v>
      </c>
      <c r="I47" s="98">
        <f>'G&amp;P '!L19</f>
        <v>8602.3308939992257</v>
      </c>
      <c r="J47" s="98">
        <f>'G&amp;P '!M19</f>
        <v>8526.6100164186246</v>
      </c>
      <c r="K47" s="98">
        <f>'G&amp;P '!N19</f>
        <v>8506.0614263078369</v>
      </c>
      <c r="L47" s="98">
        <f>'G&amp;P '!O19</f>
        <v>8377.5056888851068</v>
      </c>
      <c r="M47" s="98">
        <f>'G&amp;P '!P19</f>
        <v>8334.9400235818266</v>
      </c>
      <c r="N47" s="98">
        <f t="shared" si="2"/>
        <v>916105.58319999988</v>
      </c>
    </row>
    <row r="48" spans="2:15" x14ac:dyDescent="0.25">
      <c r="B48" s="97" t="s">
        <v>291</v>
      </c>
      <c r="C48" s="98">
        <f>'G&amp;P '!F20</f>
        <v>29134.544072727273</v>
      </c>
      <c r="D48" s="98">
        <f>'G&amp;P '!G20</f>
        <v>29134.544072727273</v>
      </c>
      <c r="E48" s="98">
        <f>'G&amp;P '!H20</f>
        <v>29134.544072727273</v>
      </c>
      <c r="F48" s="98">
        <f>'G&amp;P '!I20</f>
        <v>29134.544072727273</v>
      </c>
      <c r="G48" s="98">
        <f>'G&amp;P '!J20</f>
        <v>29134.544072727273</v>
      </c>
      <c r="H48" s="98">
        <f>'G&amp;P '!K20</f>
        <v>29134.544072727273</v>
      </c>
      <c r="I48" s="98">
        <f>'G&amp;P '!L20</f>
        <v>29134.544072727273</v>
      </c>
      <c r="J48" s="98">
        <f>'G&amp;P '!M20</f>
        <v>29134.544072727273</v>
      </c>
      <c r="K48" s="98">
        <f>'G&amp;P '!N20</f>
        <v>29134.544072727273</v>
      </c>
      <c r="L48" s="98">
        <f>'G&amp;P '!O20</f>
        <v>29134.544072727273</v>
      </c>
      <c r="M48" s="98">
        <f>'G&amp;P '!P20</f>
        <v>29134.544072727273</v>
      </c>
      <c r="N48" s="98">
        <f t="shared" si="2"/>
        <v>320479.98479999998</v>
      </c>
    </row>
    <row r="49" spans="2:14" x14ac:dyDescent="0.25">
      <c r="B49" s="97" t="s">
        <v>312</v>
      </c>
      <c r="C49" s="98">
        <f>+'G&amp;P '!F21</f>
        <v>92846.509560840073</v>
      </c>
      <c r="D49" s="98">
        <f>+'G&amp;P '!G21</f>
        <v>295978.4072005999</v>
      </c>
      <c r="E49" s="98">
        <f>+'G&amp;P '!H21</f>
        <v>209619.77467625684</v>
      </c>
      <c r="F49" s="98">
        <f>+'G&amp;P '!I21</f>
        <v>22786.185058078594</v>
      </c>
      <c r="G49" s="98">
        <f>+'G&amp;P '!J21</f>
        <v>6279.5321393512786</v>
      </c>
      <c r="H49" s="98">
        <f>+'G&amp;P '!K21</f>
        <v>6239.8666140659734</v>
      </c>
      <c r="I49" s="98">
        <f>+'G&amp;P '!L21</f>
        <v>6239.4035060007718</v>
      </c>
      <c r="J49" s="98">
        <f>+'G&amp;P '!M21</f>
        <v>6184.4819835813742</v>
      </c>
      <c r="K49" s="98">
        <f>+'G&amp;P '!N21</f>
        <v>6169.5777736921609</v>
      </c>
      <c r="L49" s="98">
        <f>+'G&amp;P '!O21</f>
        <v>6076.3343111148924</v>
      </c>
      <c r="M49" s="98">
        <f>+'G&amp;P '!P21</f>
        <v>6045.4607764181728</v>
      </c>
      <c r="N49" s="98">
        <f t="shared" si="2"/>
        <v>664465.53359999997</v>
      </c>
    </row>
    <row r="50" spans="2:14" x14ac:dyDescent="0.25">
      <c r="B50" s="97" t="s">
        <v>348</v>
      </c>
      <c r="C50" s="98">
        <f>'Financiamiento '!D8</f>
        <v>2589200.4927319563</v>
      </c>
      <c r="D50" s="98">
        <f>'Financiamiento '!E8</f>
        <v>4588218.0623076102</v>
      </c>
      <c r="E50" s="98">
        <f>'Financiamiento '!F8</f>
        <v>7307861.6854404556</v>
      </c>
      <c r="F50" s="98"/>
      <c r="G50" s="98"/>
      <c r="H50" s="98"/>
      <c r="I50" s="98"/>
      <c r="J50" s="98"/>
      <c r="K50" s="98"/>
      <c r="L50" s="98"/>
      <c r="M50" s="98"/>
      <c r="N50" s="98">
        <f t="shared" si="2"/>
        <v>14485280.240480021</v>
      </c>
    </row>
    <row r="51" spans="2:14" x14ac:dyDescent="0.25">
      <c r="B51" s="97" t="s">
        <v>292</v>
      </c>
      <c r="C51" s="98">
        <f>SUM(C46:C50)</f>
        <v>2839190.0005113501</v>
      </c>
      <c r="D51" s="98">
        <f t="shared" ref="D51:N51" si="3">SUM(D46:D50)</f>
        <v>8821399.5402870029</v>
      </c>
      <c r="E51" s="98">
        <f t="shared" si="3"/>
        <v>10885620.980699848</v>
      </c>
      <c r="F51" s="98">
        <f t="shared" si="3"/>
        <v>3233336.2808727273</v>
      </c>
      <c r="G51" s="98">
        <f t="shared" si="3"/>
        <v>3644071.7328727269</v>
      </c>
      <c r="H51" s="98">
        <f t="shared" si="3"/>
        <v>3643977.3800727273</v>
      </c>
      <c r="I51" s="98">
        <f t="shared" si="3"/>
        <v>3643976.2784727276</v>
      </c>
      <c r="J51" s="98">
        <f t="shared" si="3"/>
        <v>3643845.6360727274</v>
      </c>
      <c r="K51" s="98">
        <f t="shared" si="3"/>
        <v>3643810.1832727273</v>
      </c>
      <c r="L51" s="98">
        <f t="shared" si="3"/>
        <v>3693588.3840727275</v>
      </c>
      <c r="M51" s="98">
        <f t="shared" si="3"/>
        <v>3693514.9448727272</v>
      </c>
      <c r="N51" s="98">
        <f t="shared" si="3"/>
        <v>51386331.342080027</v>
      </c>
    </row>
    <row r="52" spans="2:14" x14ac:dyDescent="0.25">
      <c r="B52" s="97"/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2:14" x14ac:dyDescent="0.25">
      <c r="B53" s="193"/>
      <c r="C53" s="34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2:14" hidden="1" x14ac:dyDescent="0.25">
      <c r="B54" s="9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98"/>
    </row>
    <row r="55" spans="2:14" hidden="1" x14ac:dyDescent="0.25">
      <c r="B55" s="97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2:14" hidden="1" x14ac:dyDescent="0.25"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2:14" hidden="1" x14ac:dyDescent="0.25"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</row>
    <row r="58" spans="2:14" x14ac:dyDescent="0.25">
      <c r="B58" s="97"/>
      <c r="C58" s="18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</row>
    <row r="59" spans="2:14" x14ac:dyDescent="0.25">
      <c r="B59" s="342" t="s">
        <v>316</v>
      </c>
      <c r="C59" s="199">
        <v>2020</v>
      </c>
      <c r="D59" s="199">
        <v>2021</v>
      </c>
      <c r="E59" s="199">
        <v>2022</v>
      </c>
      <c r="F59" s="199">
        <v>2023</v>
      </c>
      <c r="G59" s="199">
        <v>2024</v>
      </c>
      <c r="H59" s="199">
        <v>2025</v>
      </c>
      <c r="I59" s="199">
        <v>2026</v>
      </c>
      <c r="J59" s="199">
        <v>2027</v>
      </c>
      <c r="K59" s="199">
        <v>2028</v>
      </c>
      <c r="L59" s="199">
        <v>2029</v>
      </c>
      <c r="M59" s="199">
        <v>2030</v>
      </c>
      <c r="N59" s="277" t="s">
        <v>236</v>
      </c>
    </row>
    <row r="60" spans="2:14" x14ac:dyDescent="0.25">
      <c r="B60" s="97" t="s">
        <v>315</v>
      </c>
      <c r="C60" s="98">
        <f>+C5+C6+C7</f>
        <v>3124868.8472424233</v>
      </c>
      <c r="D60" s="98">
        <f t="shared" ref="D60:M60" si="4">+D5+D6+D7</f>
        <v>9164768.4747424256</v>
      </c>
      <c r="E60" s="98">
        <f t="shared" si="4"/>
        <v>6596991.1907424219</v>
      </c>
      <c r="F60" s="98">
        <f t="shared" si="4"/>
        <v>1041703.5109090909</v>
      </c>
      <c r="G60" s="98">
        <f t="shared" si="4"/>
        <v>550896.66090909089</v>
      </c>
      <c r="H60" s="98">
        <f t="shared" si="4"/>
        <v>549717.25090909097</v>
      </c>
      <c r="I60" s="98">
        <f t="shared" si="4"/>
        <v>549703.48090909095</v>
      </c>
      <c r="J60" s="98">
        <f t="shared" si="4"/>
        <v>548070.45090909093</v>
      </c>
      <c r="K60" s="98">
        <f t="shared" si="4"/>
        <v>547627.29090909089</v>
      </c>
      <c r="L60" s="98">
        <f t="shared" si="4"/>
        <v>544854.8009090909</v>
      </c>
      <c r="M60" s="98">
        <f t="shared" si="4"/>
        <v>543936.81090909091</v>
      </c>
      <c r="N60" s="98">
        <f>SUM(C60:M60)</f>
        <v>23763138.769999996</v>
      </c>
    </row>
    <row r="61" spans="2:14" x14ac:dyDescent="0.25">
      <c r="B61" s="97" t="s">
        <v>314</v>
      </c>
      <c r="C61" s="98">
        <v>50000</v>
      </c>
      <c r="D61" s="98">
        <v>50000</v>
      </c>
      <c r="E61" s="98"/>
      <c r="F61" s="98"/>
      <c r="G61" s="98"/>
      <c r="H61" s="98"/>
      <c r="I61" s="98"/>
      <c r="J61" s="98"/>
      <c r="K61" s="98"/>
      <c r="L61" s="98"/>
      <c r="M61" s="98"/>
      <c r="N61" s="98">
        <f t="shared" ref="N61:N65" si="5">SUM(C61:M61)</f>
        <v>100000</v>
      </c>
    </row>
    <row r="62" spans="2:14" x14ac:dyDescent="0.25">
      <c r="B62" s="97" t="s">
        <v>376</v>
      </c>
      <c r="C62" s="98">
        <f>'Financiamiento '!D9</f>
        <v>83375.173043437491</v>
      </c>
      <c r="D62" s="98">
        <f>'Financiamiento '!E9</f>
        <v>350314.78676820232</v>
      </c>
      <c r="E62" s="98">
        <f>'Financiamiento '!F9</f>
        <v>886004.11293232441</v>
      </c>
      <c r="F62" s="98">
        <f>'Financiamiento '!G9</f>
        <v>1304199.3381831041</v>
      </c>
      <c r="G62" s="98">
        <f>'Financiamiento '!H9</f>
        <v>1421577.2786195835</v>
      </c>
      <c r="H62" s="98">
        <f>'Financiamiento '!I9</f>
        <v>1549519.2336953462</v>
      </c>
      <c r="I62" s="98">
        <f>'Financiamiento '!J9</f>
        <v>1688975.9647279275</v>
      </c>
      <c r="J62" s="98">
        <f>'Financiamiento '!K9</f>
        <v>1840983.8015534412</v>
      </c>
      <c r="K62" s="98">
        <f>'Financiamiento '!L9</f>
        <v>2006672.3436932508</v>
      </c>
      <c r="L62" s="98">
        <f>'Financiamiento '!M9</f>
        <v>2187272.8546256442</v>
      </c>
      <c r="M62" s="98">
        <f>'Financiamiento '!N9</f>
        <v>1166385.3526377594</v>
      </c>
      <c r="N62" s="98">
        <f t="shared" si="5"/>
        <v>14485280.240480021</v>
      </c>
    </row>
    <row r="63" spans="2:14" x14ac:dyDescent="0.25">
      <c r="B63" s="97" t="s">
        <v>377</v>
      </c>
      <c r="C63" s="98">
        <f>'Financiamiento '!D10</f>
        <v>114004.18298242851</v>
      </c>
      <c r="D63" s="98">
        <f>'Financiamiento '!E10</f>
        <v>418855.76496719028</v>
      </c>
      <c r="E63" s="98">
        <f>'Financiamiento '!F10</f>
        <v>903529.14168139489</v>
      </c>
      <c r="F63" s="98">
        <f>'Financiamiento '!G10</f>
        <v>1131284.7796252812</v>
      </c>
      <c r="G63" s="98">
        <f>'Financiamiento '!H10</f>
        <v>1013906.8391888018</v>
      </c>
      <c r="H63" s="98">
        <f>'Financiamiento '!I10</f>
        <v>885964.88411303912</v>
      </c>
      <c r="I63" s="98">
        <f>'Financiamiento '!J10</f>
        <v>746508.15308045782</v>
      </c>
      <c r="J63" s="98">
        <f>'Financiamiento '!K10</f>
        <v>594500.31625494431</v>
      </c>
      <c r="K63" s="98">
        <f>'Financiamiento '!L10</f>
        <v>428811.77411513426</v>
      </c>
      <c r="L63" s="98">
        <f>'Financiamiento '!M10</f>
        <v>248211.26318274153</v>
      </c>
      <c r="M63" s="98">
        <f>'Financiamiento '!N10</f>
        <v>51356.706266433335</v>
      </c>
      <c r="N63" s="98">
        <f t="shared" si="5"/>
        <v>6536933.8054578463</v>
      </c>
    </row>
    <row r="64" spans="2:14" x14ac:dyDescent="0.25">
      <c r="B64" s="97" t="s">
        <v>378</v>
      </c>
      <c r="C64" s="98">
        <f>'Financiamiento '!D11</f>
        <v>12946.002463659781</v>
      </c>
      <c r="D64" s="98">
        <f>'Financiamiento '!E11</f>
        <v>22941.09031153805</v>
      </c>
      <c r="E64" s="98">
        <f>'Financiamiento '!F11</f>
        <v>36539.308427202275</v>
      </c>
      <c r="F64" s="98">
        <f>'Financiamiento '!G11</f>
        <v>0</v>
      </c>
      <c r="G64" s="98">
        <f>'Financiamiento '!H11</f>
        <v>0</v>
      </c>
      <c r="H64" s="98">
        <f>'Financiamiento '!I11</f>
        <v>0</v>
      </c>
      <c r="I64" s="98">
        <f>'Financiamiento '!J11</f>
        <v>0</v>
      </c>
      <c r="J64" s="98">
        <f>'Financiamiento '!K11</f>
        <v>0</v>
      </c>
      <c r="K64" s="98">
        <f>'Financiamiento '!L11</f>
        <v>0</v>
      </c>
      <c r="L64" s="98">
        <f>'Financiamiento '!M11</f>
        <v>0</v>
      </c>
      <c r="M64" s="98">
        <f>'Financiamiento '!N11</f>
        <v>0</v>
      </c>
      <c r="N64" s="98">
        <f t="shared" si="5"/>
        <v>72426.401202400099</v>
      </c>
    </row>
    <row r="65" spans="2:15" x14ac:dyDescent="0.25">
      <c r="B65" s="97" t="s">
        <v>388</v>
      </c>
      <c r="C65" s="98">
        <f>SUM(C60:C64)</f>
        <v>3385194.2057319488</v>
      </c>
      <c r="D65" s="98">
        <f t="shared" ref="D65:M65" si="6">SUM(D60:D64)</f>
        <v>10006880.116789356</v>
      </c>
      <c r="E65" s="98">
        <f t="shared" si="6"/>
        <v>8423063.7537833434</v>
      </c>
      <c r="F65" s="98">
        <f t="shared" si="6"/>
        <v>3477187.628717476</v>
      </c>
      <c r="G65" s="98">
        <f t="shared" si="6"/>
        <v>2986380.7787174759</v>
      </c>
      <c r="H65" s="98">
        <f t="shared" si="6"/>
        <v>2985201.3687174758</v>
      </c>
      <c r="I65" s="98">
        <f t="shared" si="6"/>
        <v>2985187.5987174762</v>
      </c>
      <c r="J65" s="98">
        <f t="shared" si="6"/>
        <v>2983554.5687174769</v>
      </c>
      <c r="K65" s="98">
        <f t="shared" si="6"/>
        <v>2983111.4087174758</v>
      </c>
      <c r="L65" s="98">
        <f t="shared" si="6"/>
        <v>2980338.9187174765</v>
      </c>
      <c r="M65" s="98">
        <f t="shared" si="6"/>
        <v>1761678.8698132837</v>
      </c>
      <c r="N65" s="98">
        <f t="shared" si="5"/>
        <v>44957779.217140265</v>
      </c>
    </row>
    <row r="66" spans="2:15" x14ac:dyDescent="0.25">
      <c r="B66" s="97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</row>
    <row r="67" spans="2:15" x14ac:dyDescent="0.25">
      <c r="B67" s="97" t="s">
        <v>309</v>
      </c>
      <c r="C67" s="98">
        <f>+'G&amp;P '!F35</f>
        <v>0</v>
      </c>
      <c r="D67" s="98">
        <f>+'G&amp;P '!G35</f>
        <v>0</v>
      </c>
      <c r="E67" s="98">
        <f>+'G&amp;P '!H35</f>
        <v>0</v>
      </c>
      <c r="F67" s="98">
        <f>+'G&amp;P '!I35</f>
        <v>288282.10987324035</v>
      </c>
      <c r="G67" s="98">
        <f>+'G&amp;P '!J35</f>
        <v>565301.05078565818</v>
      </c>
      <c r="H67" s="98">
        <f>+'G&amp;P '!K35</f>
        <v>600380.26974813105</v>
      </c>
      <c r="I67" s="98">
        <f>+'G&amp;P '!L35</f>
        <v>638298.51271886402</v>
      </c>
      <c r="J67" s="98">
        <f>+'G&amp;P '!M35</f>
        <v>680034.10498455074</v>
      </c>
      <c r="K67" s="98">
        <f>+'G&amp;P '!N35</f>
        <v>966922.03036508185</v>
      </c>
      <c r="L67" s="98">
        <f>+'G&amp;P '!O35</f>
        <v>1051439.3409930742</v>
      </c>
      <c r="M67" s="98">
        <f>+'G&amp;P '!P35</f>
        <v>1123105.267540236</v>
      </c>
      <c r="N67" s="98">
        <f>SUM(C67:M67)</f>
        <v>5913762.6870088363</v>
      </c>
      <c r="O67" s="98"/>
    </row>
    <row r="68" spans="2:15" x14ac:dyDescent="0.25">
      <c r="B68" s="97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</row>
    <row r="69" spans="2:15" x14ac:dyDescent="0.25">
      <c r="B69" s="97" t="s">
        <v>317</v>
      </c>
      <c r="C69" s="98">
        <f t="shared" ref="C69:M69" si="7">+C65+C67</f>
        <v>3385194.2057319488</v>
      </c>
      <c r="D69" s="98">
        <f t="shared" si="7"/>
        <v>10006880.116789356</v>
      </c>
      <c r="E69" s="98">
        <f t="shared" si="7"/>
        <v>8423063.7537833434</v>
      </c>
      <c r="F69" s="98">
        <f t="shared" si="7"/>
        <v>3765469.7385907164</v>
      </c>
      <c r="G69" s="98">
        <f t="shared" si="7"/>
        <v>3551681.8295031339</v>
      </c>
      <c r="H69" s="98">
        <f t="shared" si="7"/>
        <v>3585581.6384656066</v>
      </c>
      <c r="I69" s="98">
        <f t="shared" si="7"/>
        <v>3623486.11143634</v>
      </c>
      <c r="J69" s="98">
        <f t="shared" si="7"/>
        <v>3663588.6737020276</v>
      </c>
      <c r="K69" s="98">
        <f t="shared" si="7"/>
        <v>3950033.4390825578</v>
      </c>
      <c r="L69" s="98">
        <f t="shared" si="7"/>
        <v>4031778.2597105508</v>
      </c>
      <c r="M69" s="98">
        <f t="shared" si="7"/>
        <v>2884784.1373535199</v>
      </c>
      <c r="N69" s="98">
        <f>SUM(C69:M69)</f>
        <v>50871541.9041491</v>
      </c>
      <c r="O69" s="7"/>
    </row>
    <row r="70" spans="2:15" hidden="1" x14ac:dyDescent="0.25">
      <c r="B70" s="97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2:15" hidden="1" x14ac:dyDescent="0.25">
      <c r="B71" s="97" t="s">
        <v>318</v>
      </c>
      <c r="C71" s="98">
        <f>NPV(C53,D69:M69)+C69</f>
        <v>50871541.9041491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>
        <f>C71</f>
        <v>50871541.9041491</v>
      </c>
    </row>
    <row r="72" spans="2:15" x14ac:dyDescent="0.25">
      <c r="B72" s="97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</row>
    <row r="73" spans="2:15" x14ac:dyDescent="0.25">
      <c r="B73" s="97" t="s">
        <v>285</v>
      </c>
      <c r="C73" s="98">
        <f>+C51-C69</f>
        <v>-546004.20522059873</v>
      </c>
      <c r="D73" s="98">
        <f t="shared" ref="D73:M73" si="8">+D51-D69</f>
        <v>-1185480.576502353</v>
      </c>
      <c r="E73" s="98">
        <f t="shared" si="8"/>
        <v>2462557.226916505</v>
      </c>
      <c r="F73" s="98">
        <f t="shared" si="8"/>
        <v>-532133.45771798911</v>
      </c>
      <c r="G73" s="98">
        <f t="shared" si="8"/>
        <v>92389.903369592968</v>
      </c>
      <c r="H73" s="98">
        <f t="shared" si="8"/>
        <v>58395.741607120726</v>
      </c>
      <c r="I73" s="98">
        <f t="shared" si="8"/>
        <v>20490.167036387604</v>
      </c>
      <c r="J73" s="98">
        <f t="shared" si="8"/>
        <v>-19743.037629300263</v>
      </c>
      <c r="K73" s="98">
        <f t="shared" si="8"/>
        <v>-306223.2558098305</v>
      </c>
      <c r="L73" s="98">
        <f t="shared" si="8"/>
        <v>-338189.87563782325</v>
      </c>
      <c r="M73" s="98">
        <f t="shared" si="8"/>
        <v>808730.80751920724</v>
      </c>
      <c r="N73" s="98">
        <f>SUM(C73:M73)</f>
        <v>514789.43793091876</v>
      </c>
      <c r="O73" s="7"/>
    </row>
    <row r="74" spans="2:15" x14ac:dyDescent="0.25">
      <c r="B74" s="97"/>
      <c r="C74" s="99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</row>
    <row r="75" spans="2:15" x14ac:dyDescent="0.25">
      <c r="B75" s="97" t="s">
        <v>283</v>
      </c>
      <c r="C75" s="18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</row>
    <row r="76" spans="2:15" hidden="1" x14ac:dyDescent="0.25">
      <c r="B76" s="97"/>
      <c r="C76" s="34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188"/>
    </row>
    <row r="77" spans="2:15" x14ac:dyDescent="0.25">
      <c r="B77" s="192" t="s">
        <v>413</v>
      </c>
      <c r="C77" s="345">
        <f>IRR(C73:M73)</f>
        <v>0.16126459006107696</v>
      </c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1"/>
    </row>
    <row r="78" spans="2:15" x14ac:dyDescent="0.25">
      <c r="B78" s="190"/>
      <c r="C78" s="198"/>
      <c r="D78" s="190"/>
      <c r="E78" s="190"/>
      <c r="F78" s="16"/>
      <c r="G78" s="190"/>
      <c r="H78" s="190"/>
      <c r="I78" s="190"/>
      <c r="J78" s="190"/>
      <c r="K78" s="190"/>
      <c r="L78" s="190"/>
      <c r="M78" s="190"/>
      <c r="N78" s="191"/>
    </row>
    <row r="79" spans="2:15" ht="15.75" x14ac:dyDescent="0.25">
      <c r="B79" s="357"/>
      <c r="C79" s="375" t="s">
        <v>327</v>
      </c>
      <c r="D79" s="376"/>
      <c r="E79" s="376"/>
      <c r="F79" s="376"/>
      <c r="G79" s="376"/>
      <c r="H79" s="376"/>
      <c r="I79" s="376"/>
      <c r="J79" s="376"/>
      <c r="K79" s="376"/>
      <c r="L79" s="376"/>
      <c r="M79" s="376"/>
      <c r="N79" s="377"/>
    </row>
    <row r="80" spans="2:15" x14ac:dyDescent="0.25">
      <c r="B80" s="97"/>
      <c r="C80" s="199">
        <v>2020</v>
      </c>
      <c r="D80" s="199">
        <v>2021</v>
      </c>
      <c r="E80" s="199">
        <v>2022</v>
      </c>
      <c r="F80" s="199">
        <v>2023</v>
      </c>
      <c r="G80" s="199">
        <v>2024</v>
      </c>
      <c r="H80" s="199">
        <v>2025</v>
      </c>
      <c r="I80" s="199">
        <v>2026</v>
      </c>
      <c r="J80" s="199">
        <v>2027</v>
      </c>
      <c r="K80" s="199">
        <v>2028</v>
      </c>
      <c r="L80" s="199">
        <v>2029</v>
      </c>
      <c r="M80" s="199">
        <v>2030</v>
      </c>
      <c r="N80" s="97" t="s">
        <v>9</v>
      </c>
    </row>
    <row r="81" spans="2:15" x14ac:dyDescent="0.25">
      <c r="B81" s="193" t="s">
        <v>381</v>
      </c>
      <c r="C81" s="250">
        <f>+C10</f>
        <v>0</v>
      </c>
      <c r="D81" s="250">
        <f t="shared" ref="D81:M81" si="9">+D10</f>
        <v>4171197.3623487409</v>
      </c>
      <c r="E81" s="250">
        <f t="shared" si="9"/>
        <v>3366547.6402289239</v>
      </c>
      <c r="F81" s="250">
        <f t="shared" si="9"/>
        <v>3875713.0283394093</v>
      </c>
      <c r="G81" s="250">
        <f t="shared" si="9"/>
        <v>4265338.1170667261</v>
      </c>
      <c r="H81" s="250">
        <f t="shared" si="9"/>
        <v>4657917.4627212575</v>
      </c>
      <c r="I81" s="250">
        <f t="shared" si="9"/>
        <v>4796604.4115403462</v>
      </c>
      <c r="J81" s="250">
        <f t="shared" si="9"/>
        <v>4931612.2001644075</v>
      </c>
      <c r="K81" s="250">
        <f t="shared" si="9"/>
        <v>5064605.5452037081</v>
      </c>
      <c r="L81" s="250">
        <f t="shared" si="9"/>
        <v>5370079.2994516212</v>
      </c>
      <c r="M81" s="250">
        <f t="shared" si="9"/>
        <v>5264303.6477591414</v>
      </c>
      <c r="N81" s="167">
        <f>SUM(C81:M81)</f>
        <v>45763918.714824282</v>
      </c>
    </row>
    <row r="82" spans="2:15" x14ac:dyDescent="0.25">
      <c r="B82" s="193" t="s">
        <v>409</v>
      </c>
      <c r="C82" s="250"/>
      <c r="D82" s="250"/>
      <c r="E82" s="250">
        <v>350000</v>
      </c>
      <c r="F82" s="250"/>
      <c r="G82" s="250"/>
      <c r="H82" s="250"/>
      <c r="I82" s="250"/>
      <c r="J82" s="250"/>
      <c r="K82" s="250"/>
      <c r="L82" s="250"/>
      <c r="M82" s="250"/>
      <c r="N82" s="167">
        <f>SUM(C82:M82)</f>
        <v>350000</v>
      </c>
    </row>
    <row r="83" spans="2:15" x14ac:dyDescent="0.25">
      <c r="B83" s="167" t="s">
        <v>382</v>
      </c>
      <c r="C83" s="167">
        <f>C46</f>
        <v>0</v>
      </c>
      <c r="D83" s="167">
        <f>+D46</f>
        <v>3500000</v>
      </c>
      <c r="E83" s="167">
        <f t="shared" ref="E83:M83" si="10">+E46</f>
        <v>3050000</v>
      </c>
      <c r="F83" s="167">
        <f t="shared" si="10"/>
        <v>3150000</v>
      </c>
      <c r="G83" s="167">
        <f t="shared" si="10"/>
        <v>3600000</v>
      </c>
      <c r="H83" s="167">
        <f t="shared" si="10"/>
        <v>3600000</v>
      </c>
      <c r="I83" s="167">
        <f t="shared" si="10"/>
        <v>3600000</v>
      </c>
      <c r="J83" s="167">
        <f t="shared" si="10"/>
        <v>3600000</v>
      </c>
      <c r="K83" s="167">
        <f t="shared" si="10"/>
        <v>3600000</v>
      </c>
      <c r="L83" s="167">
        <f t="shared" si="10"/>
        <v>3650000</v>
      </c>
      <c r="M83" s="167">
        <f t="shared" si="10"/>
        <v>3650000</v>
      </c>
      <c r="N83" s="167">
        <f>SUM(C83:M83)</f>
        <v>35000000</v>
      </c>
    </row>
    <row r="84" spans="2:15" x14ac:dyDescent="0.25">
      <c r="B84" s="97" t="s">
        <v>386</v>
      </c>
      <c r="C84" s="254">
        <f>C81-C83</f>
        <v>0</v>
      </c>
      <c r="D84" s="167">
        <f>+D81+D82-D83</f>
        <v>671197.36234874092</v>
      </c>
      <c r="E84" s="167">
        <f t="shared" ref="E84:M84" si="11">+E81+E82-E83</f>
        <v>666547.64022892388</v>
      </c>
      <c r="F84" s="167">
        <f t="shared" si="11"/>
        <v>725713.02833940927</v>
      </c>
      <c r="G84" s="167">
        <f t="shared" si="11"/>
        <v>665338.11706672609</v>
      </c>
      <c r="H84" s="167">
        <f t="shared" si="11"/>
        <v>1057917.4627212575</v>
      </c>
      <c r="I84" s="167">
        <f t="shared" si="11"/>
        <v>1196604.4115403462</v>
      </c>
      <c r="J84" s="167">
        <f t="shared" si="11"/>
        <v>1331612.2001644075</v>
      </c>
      <c r="K84" s="167">
        <f t="shared" si="11"/>
        <v>1464605.5452037081</v>
      </c>
      <c r="L84" s="167">
        <f t="shared" si="11"/>
        <v>1720079.2994516212</v>
      </c>
      <c r="M84" s="167">
        <f t="shared" si="11"/>
        <v>1614303.6477591414</v>
      </c>
      <c r="N84" s="167">
        <f>+N81+N82-N83</f>
        <v>11113918.714824282</v>
      </c>
    </row>
    <row r="85" spans="2:15" x14ac:dyDescent="0.25">
      <c r="B85" s="197" t="s">
        <v>319</v>
      </c>
      <c r="C85" s="211">
        <f>NPV(0.05,D84:M84)+C84</f>
        <v>8177393.5764585929</v>
      </c>
      <c r="D85" s="343"/>
      <c r="E85" s="343"/>
      <c r="F85" s="343"/>
      <c r="G85" s="343"/>
      <c r="H85" s="343"/>
      <c r="I85" s="343"/>
      <c r="J85" s="343"/>
      <c r="K85" s="343"/>
      <c r="L85" s="343"/>
      <c r="M85" s="343"/>
      <c r="N85" s="343"/>
    </row>
    <row r="87" spans="2:15" x14ac:dyDescent="0.25">
      <c r="B87" s="53"/>
      <c r="C87" s="378" t="s">
        <v>327</v>
      </c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</row>
    <row r="88" spans="2:15" x14ac:dyDescent="0.25">
      <c r="B88" s="196" t="s">
        <v>383</v>
      </c>
      <c r="C88" s="199">
        <v>2020</v>
      </c>
      <c r="D88" s="199">
        <v>2021</v>
      </c>
      <c r="E88" s="199">
        <v>2022</v>
      </c>
      <c r="F88" s="199">
        <v>2023</v>
      </c>
      <c r="G88" s="199">
        <v>2024</v>
      </c>
      <c r="H88" s="199">
        <v>2025</v>
      </c>
      <c r="I88" s="199">
        <v>2026</v>
      </c>
      <c r="J88" s="199">
        <v>2027</v>
      </c>
      <c r="K88" s="199">
        <v>2028</v>
      </c>
      <c r="L88" s="199">
        <v>2029</v>
      </c>
      <c r="M88" s="199">
        <v>2030</v>
      </c>
      <c r="N88" s="278" t="s">
        <v>9</v>
      </c>
      <c r="O88" s="7"/>
    </row>
    <row r="89" spans="2:15" x14ac:dyDescent="0.25">
      <c r="B89" s="97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97"/>
      <c r="O89" s="7"/>
    </row>
    <row r="90" spans="2:15" x14ac:dyDescent="0.25">
      <c r="B90" s="97" t="s">
        <v>299</v>
      </c>
      <c r="C90" s="98">
        <f>+'FLUJO CAJA '!C7</f>
        <v>0</v>
      </c>
      <c r="D90" s="98">
        <f>+'FLUJO CAJA '!D7</f>
        <v>61525.412199999999</v>
      </c>
      <c r="E90" s="98">
        <f>+'FLUJO CAJA '!E7</f>
        <v>312017.16819999996</v>
      </c>
      <c r="F90" s="98">
        <f>+'FLUJO CAJA '!F7</f>
        <v>342017.16819999996</v>
      </c>
      <c r="G90" s="98">
        <f>+'FLUJO CAJA '!G7</f>
        <v>342017.16819999996</v>
      </c>
      <c r="H90" s="98">
        <f>+'FLUJO CAJA '!H7</f>
        <v>342017.16819999996</v>
      </c>
      <c r="I90" s="98">
        <f>+'FLUJO CAJA '!I7</f>
        <v>342017.16819999996</v>
      </c>
      <c r="J90" s="98">
        <f>+'FLUJO CAJA '!J7</f>
        <v>342017.16819999996</v>
      </c>
      <c r="K90" s="98">
        <f>+'FLUJO CAJA '!K7</f>
        <v>342017.16819999996</v>
      </c>
      <c r="L90" s="98">
        <f>+'FLUJO CAJA '!L7</f>
        <v>342017.16819999996</v>
      </c>
      <c r="M90" s="98">
        <f>+'FLUJO CAJA '!M7</f>
        <v>342017.16819999996</v>
      </c>
      <c r="N90" s="98">
        <f>SUM(C90:M90)</f>
        <v>3109679.926</v>
      </c>
    </row>
    <row r="91" spans="2:15" x14ac:dyDescent="0.25">
      <c r="B91" s="97" t="s">
        <v>298</v>
      </c>
      <c r="C91" s="98">
        <f>2690*280</f>
        <v>753200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>
        <f>SUM(C91:M91)</f>
        <v>753200</v>
      </c>
    </row>
    <row r="92" spans="2:15" x14ac:dyDescent="0.25">
      <c r="B92" s="193" t="s">
        <v>336</v>
      </c>
      <c r="C92" s="98">
        <f>0.12*C91</f>
        <v>90384</v>
      </c>
      <c r="D92" s="98">
        <f t="shared" ref="D92:M92" si="12">0.12*(D97)+0.12*D90</f>
        <v>7383.0494639999997</v>
      </c>
      <c r="E92" s="98">
        <f t="shared" si="12"/>
        <v>37442.060183999994</v>
      </c>
      <c r="F92" s="98">
        <f t="shared" si="12"/>
        <v>41042.060183999994</v>
      </c>
      <c r="G92" s="98">
        <f t="shared" si="12"/>
        <v>41042.060183999994</v>
      </c>
      <c r="H92" s="98">
        <f t="shared" si="12"/>
        <v>41042.060183999994</v>
      </c>
      <c r="I92" s="98">
        <f t="shared" si="12"/>
        <v>41042.060183999994</v>
      </c>
      <c r="J92" s="98">
        <f t="shared" si="12"/>
        <v>41042.060183999994</v>
      </c>
      <c r="K92" s="98">
        <f t="shared" si="12"/>
        <v>41042.060183999994</v>
      </c>
      <c r="L92" s="98">
        <f t="shared" si="12"/>
        <v>41042.060183999994</v>
      </c>
      <c r="M92" s="98">
        <f t="shared" si="12"/>
        <v>41042.060183999994</v>
      </c>
      <c r="N92" s="98">
        <f>SUM(C92:M92)</f>
        <v>463545.59112</v>
      </c>
    </row>
    <row r="93" spans="2:15" x14ac:dyDescent="0.25">
      <c r="B93" s="252" t="s">
        <v>384</v>
      </c>
      <c r="C93" s="253">
        <f>0.12*C83</f>
        <v>0</v>
      </c>
      <c r="D93" s="253">
        <f t="shared" ref="D93:M93" si="13">0.12*D83</f>
        <v>420000</v>
      </c>
      <c r="E93" s="253">
        <f t="shared" si="13"/>
        <v>366000</v>
      </c>
      <c r="F93" s="253">
        <f t="shared" si="13"/>
        <v>378000</v>
      </c>
      <c r="G93" s="253">
        <f t="shared" si="13"/>
        <v>432000</v>
      </c>
      <c r="H93" s="253">
        <f t="shared" si="13"/>
        <v>432000</v>
      </c>
      <c r="I93" s="253">
        <f t="shared" si="13"/>
        <v>432000</v>
      </c>
      <c r="J93" s="253">
        <f t="shared" si="13"/>
        <v>432000</v>
      </c>
      <c r="K93" s="253">
        <f t="shared" si="13"/>
        <v>432000</v>
      </c>
      <c r="L93" s="253">
        <f t="shared" si="13"/>
        <v>438000</v>
      </c>
      <c r="M93" s="253">
        <f t="shared" si="13"/>
        <v>438000</v>
      </c>
      <c r="N93" s="251">
        <f>SUM(C93:M93)</f>
        <v>4200000</v>
      </c>
    </row>
    <row r="94" spans="2:15" x14ac:dyDescent="0.25">
      <c r="B94" s="97" t="s">
        <v>385</v>
      </c>
      <c r="C94" s="98">
        <f>SUM(C90:C93)</f>
        <v>843584</v>
      </c>
      <c r="D94" s="98">
        <f t="shared" ref="D94:M94" si="14">SUM(D90:D93)</f>
        <v>488908.461664</v>
      </c>
      <c r="E94" s="98">
        <f t="shared" si="14"/>
        <v>715459.22838400002</v>
      </c>
      <c r="F94" s="98">
        <f t="shared" si="14"/>
        <v>761059.22838400002</v>
      </c>
      <c r="G94" s="98">
        <f t="shared" si="14"/>
        <v>815059.22838400002</v>
      </c>
      <c r="H94" s="98">
        <f t="shared" si="14"/>
        <v>815059.22838400002</v>
      </c>
      <c r="I94" s="98">
        <f t="shared" si="14"/>
        <v>815059.22838400002</v>
      </c>
      <c r="J94" s="98">
        <f t="shared" si="14"/>
        <v>815059.22838400002</v>
      </c>
      <c r="K94" s="98">
        <f t="shared" si="14"/>
        <v>815059.22838400002</v>
      </c>
      <c r="L94" s="98">
        <f t="shared" si="14"/>
        <v>821059.22838400002</v>
      </c>
      <c r="M94" s="98">
        <f t="shared" si="14"/>
        <v>821059.22838400002</v>
      </c>
      <c r="N94" s="98">
        <f>SUM(C94:M94)</f>
        <v>8526425.5171200018</v>
      </c>
      <c r="O94" s="255"/>
    </row>
    <row r="95" spans="2:15" hidden="1" x14ac:dyDescent="0.25">
      <c r="B95" s="53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</row>
    <row r="96" spans="2:15" hidden="1" x14ac:dyDescent="0.25">
      <c r="B96" s="53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</row>
    <row r="97" spans="2:15" hidden="1" x14ac:dyDescent="0.25">
      <c r="B97" s="193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>
        <f>SUM(C97:M97)</f>
        <v>0</v>
      </c>
    </row>
    <row r="98" spans="2:15" hidden="1" x14ac:dyDescent="0.25">
      <c r="B98" s="97" t="s">
        <v>300</v>
      </c>
      <c r="C98" s="188">
        <f>NPV(C53,D94:M94)+C94</f>
        <v>8526425.5171200018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</row>
    <row r="99" spans="2:15" x14ac:dyDescent="0.25">
      <c r="C99" s="379" t="s">
        <v>327</v>
      </c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47"/>
    </row>
    <row r="100" spans="2:15" x14ac:dyDescent="0.25">
      <c r="B100" s="53"/>
      <c r="C100" s="199">
        <v>2020</v>
      </c>
      <c r="D100" s="199">
        <v>2021</v>
      </c>
      <c r="E100" s="199">
        <v>2022</v>
      </c>
      <c r="F100" s="199">
        <v>2023</v>
      </c>
      <c r="G100" s="199">
        <v>2024</v>
      </c>
      <c r="H100" s="199">
        <v>2025</v>
      </c>
      <c r="I100" s="199">
        <v>2026</v>
      </c>
      <c r="J100" s="199">
        <v>2027</v>
      </c>
      <c r="K100" s="199">
        <v>2028</v>
      </c>
      <c r="L100" s="199">
        <v>2029</v>
      </c>
      <c r="M100" s="199">
        <v>2030</v>
      </c>
      <c r="N100" s="97" t="s">
        <v>9</v>
      </c>
      <c r="O100" s="347"/>
    </row>
    <row r="101" spans="2:15" x14ac:dyDescent="0.25">
      <c r="B101" s="193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98"/>
    </row>
    <row r="102" spans="2:15" x14ac:dyDescent="0.25">
      <c r="B102" s="193" t="s">
        <v>387</v>
      </c>
      <c r="C102" s="98">
        <f>C84-C94</f>
        <v>-843584</v>
      </c>
      <c r="D102" s="98">
        <f t="shared" ref="D102:M102" si="15">D84-D94</f>
        <v>182288.90068474092</v>
      </c>
      <c r="E102" s="98">
        <f t="shared" si="15"/>
        <v>-48911.588155076141</v>
      </c>
      <c r="F102" s="98">
        <f t="shared" si="15"/>
        <v>-35346.200044590747</v>
      </c>
      <c r="G102" s="98">
        <f t="shared" si="15"/>
        <v>-149721.11131727393</v>
      </c>
      <c r="H102" s="98">
        <f t="shared" si="15"/>
        <v>242858.23433725745</v>
      </c>
      <c r="I102" s="98">
        <f t="shared" si="15"/>
        <v>381545.1831563462</v>
      </c>
      <c r="J102" s="98">
        <f t="shared" si="15"/>
        <v>516552.97178040748</v>
      </c>
      <c r="K102" s="98">
        <f t="shared" si="15"/>
        <v>649546.3168197081</v>
      </c>
      <c r="L102" s="98">
        <f t="shared" si="15"/>
        <v>899020.07106762123</v>
      </c>
      <c r="M102" s="98">
        <f t="shared" si="15"/>
        <v>793244.41937514138</v>
      </c>
      <c r="N102" s="98">
        <f>SUM(C102:M102)</f>
        <v>2587493.1977042817</v>
      </c>
    </row>
    <row r="103" spans="2:15" x14ac:dyDescent="0.25">
      <c r="B103" s="193"/>
      <c r="C103" s="349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</row>
    <row r="104" spans="2:15" x14ac:dyDescent="0.25">
      <c r="B104" s="193" t="s">
        <v>412</v>
      </c>
      <c r="C104" s="350">
        <f>IRR(C102:M102)</f>
        <v>0.20092480334126206</v>
      </c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</row>
    <row r="106" spans="2:15" x14ac:dyDescent="0.25">
      <c r="B106" s="192"/>
      <c r="C106" s="351"/>
    </row>
    <row r="107" spans="2:15" x14ac:dyDescent="0.25">
      <c r="B107" s="192"/>
      <c r="C107" s="352"/>
    </row>
    <row r="108" spans="2:15" x14ac:dyDescent="0.25">
      <c r="B108" s="17"/>
      <c r="C108" s="352"/>
    </row>
  </sheetData>
  <mergeCells count="3">
    <mergeCell ref="C79:N79"/>
    <mergeCell ref="C87:N87"/>
    <mergeCell ref="C99:N9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4:R35"/>
  <sheetViews>
    <sheetView topLeftCell="D25" zoomScale="120" zoomScaleNormal="120" workbookViewId="0">
      <selection activeCell="I40" sqref="I40"/>
    </sheetView>
  </sheetViews>
  <sheetFormatPr baseColWidth="10" defaultColWidth="11.42578125" defaultRowHeight="15" x14ac:dyDescent="0.25"/>
  <cols>
    <col min="1" max="4" width="11.42578125" style="72"/>
    <col min="5" max="5" width="29.42578125" style="72" customWidth="1"/>
    <col min="6" max="6" width="11.42578125" style="72"/>
    <col min="7" max="7" width="14.140625" style="72" customWidth="1"/>
    <col min="8" max="8" width="15.28515625" style="72" customWidth="1"/>
    <col min="9" max="9" width="14.5703125" style="72" customWidth="1"/>
    <col min="10" max="15" width="11.42578125" style="72"/>
    <col min="16" max="17" width="12.5703125" style="72" bestFit="1" customWidth="1"/>
    <col min="18" max="18" width="13.5703125" style="72" bestFit="1" customWidth="1"/>
    <col min="19" max="16384" width="11.42578125" style="72"/>
  </cols>
  <sheetData>
    <row r="4" spans="5:17" x14ac:dyDescent="0.25">
      <c r="E4" s="97"/>
      <c r="F4" s="97"/>
      <c r="G4" s="97"/>
      <c r="H4" s="97"/>
      <c r="I4" s="196" t="s">
        <v>325</v>
      </c>
      <c r="J4" s="97"/>
      <c r="K4" s="97"/>
      <c r="L4" s="97"/>
      <c r="M4" s="97"/>
      <c r="N4" s="97"/>
      <c r="O4" s="97"/>
      <c r="P4" s="97"/>
      <c r="Q4" s="97"/>
    </row>
    <row r="5" spans="5:17" x14ac:dyDescent="0.25"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5:17" x14ac:dyDescent="0.25">
      <c r="E6" s="97"/>
      <c r="F6" s="199">
        <v>2020</v>
      </c>
      <c r="G6" s="199">
        <v>2021</v>
      </c>
      <c r="H6" s="199">
        <v>2022</v>
      </c>
      <c r="I6" s="199">
        <v>2023</v>
      </c>
      <c r="J6" s="199">
        <v>2024</v>
      </c>
      <c r="K6" s="199">
        <v>2025</v>
      </c>
      <c r="L6" s="199">
        <v>2026</v>
      </c>
      <c r="M6" s="199">
        <v>2027</v>
      </c>
      <c r="N6" s="199">
        <v>2028</v>
      </c>
      <c r="O6" s="199">
        <v>2029</v>
      </c>
      <c r="P6" s="199">
        <v>2030</v>
      </c>
      <c r="Q6" s="97" t="s">
        <v>9</v>
      </c>
    </row>
    <row r="7" spans="5:17" x14ac:dyDescent="0.25">
      <c r="E7" s="196" t="s">
        <v>340</v>
      </c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97"/>
    </row>
    <row r="8" spans="5:17" x14ac:dyDescent="0.25">
      <c r="E8" s="97" t="s">
        <v>337</v>
      </c>
      <c r="F8" s="212">
        <f>'FLUJO ALIADO Y EP'!C46</f>
        <v>0</v>
      </c>
      <c r="G8" s="213">
        <f>'FLUJO ALIADO Y EP'!D46</f>
        <v>3500000</v>
      </c>
      <c r="H8" s="213">
        <f>'FLUJO ALIADO Y EP'!E46</f>
        <v>3050000</v>
      </c>
      <c r="I8" s="213">
        <f>'FLUJO ALIADO Y EP'!F46</f>
        <v>3150000</v>
      </c>
      <c r="J8" s="213">
        <f>'FLUJO ALIADO Y EP'!G46</f>
        <v>3600000</v>
      </c>
      <c r="K8" s="213">
        <f>'FLUJO ALIADO Y EP'!H46</f>
        <v>3600000</v>
      </c>
      <c r="L8" s="213">
        <f>'FLUJO ALIADO Y EP'!I46</f>
        <v>3600000</v>
      </c>
      <c r="M8" s="213">
        <f>'FLUJO ALIADO Y EP'!J46</f>
        <v>3600000</v>
      </c>
      <c r="N8" s="213">
        <f>'FLUJO ALIADO Y EP'!K46</f>
        <v>3600000</v>
      </c>
      <c r="O8" s="213">
        <f>'FLUJO ALIADO Y EP'!L46</f>
        <v>3650000</v>
      </c>
      <c r="P8" s="213">
        <f>'FLUJO ALIADO Y EP'!M46</f>
        <v>3650000</v>
      </c>
      <c r="Q8" s="167">
        <f>SUM(F8:P8)</f>
        <v>35000000</v>
      </c>
    </row>
    <row r="9" spans="5:17" x14ac:dyDescent="0.25">
      <c r="E9" s="97" t="s">
        <v>341</v>
      </c>
      <c r="F9" s="212">
        <f>F8</f>
        <v>0</v>
      </c>
      <c r="G9" s="213">
        <f t="shared" ref="G9:P9" si="0">G8</f>
        <v>3500000</v>
      </c>
      <c r="H9" s="213">
        <f t="shared" si="0"/>
        <v>3050000</v>
      </c>
      <c r="I9" s="213">
        <f t="shared" si="0"/>
        <v>3150000</v>
      </c>
      <c r="J9" s="213">
        <f t="shared" si="0"/>
        <v>3600000</v>
      </c>
      <c r="K9" s="213">
        <f t="shared" si="0"/>
        <v>3600000</v>
      </c>
      <c r="L9" s="213">
        <f t="shared" si="0"/>
        <v>3600000</v>
      </c>
      <c r="M9" s="213">
        <f t="shared" si="0"/>
        <v>3600000</v>
      </c>
      <c r="N9" s="213">
        <f t="shared" si="0"/>
        <v>3600000</v>
      </c>
      <c r="O9" s="213">
        <f t="shared" si="0"/>
        <v>3650000</v>
      </c>
      <c r="P9" s="213">
        <f t="shared" si="0"/>
        <v>3650000</v>
      </c>
      <c r="Q9" s="167"/>
    </row>
    <row r="10" spans="5:17" x14ac:dyDescent="0.25">
      <c r="E10" s="97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97"/>
    </row>
    <row r="11" spans="5:17" x14ac:dyDescent="0.25">
      <c r="E11" s="97" t="str">
        <f>'FLUJO ALIADO Y EP'!B60</f>
        <v>Salidas de efectivo Inversion + asesoria</v>
      </c>
      <c r="F11" s="167">
        <f>'FLUJO ALIADO Y EP'!C60</f>
        <v>3124868.8472424233</v>
      </c>
      <c r="G11" s="167">
        <f>'FLUJO ALIADO Y EP'!D60</f>
        <v>9164768.4747424256</v>
      </c>
      <c r="H11" s="167">
        <f>'FLUJO ALIADO Y EP'!E60</f>
        <v>6596991.1907424219</v>
      </c>
      <c r="I11" s="167">
        <f>'FLUJO ALIADO Y EP'!F60</f>
        <v>1041703.5109090909</v>
      </c>
      <c r="J11" s="167">
        <f>'FLUJO ALIADO Y EP'!G60</f>
        <v>550896.66090909089</v>
      </c>
      <c r="K11" s="167">
        <f>'FLUJO ALIADO Y EP'!H60</f>
        <v>549717.25090909097</v>
      </c>
      <c r="L11" s="167">
        <f>'FLUJO ALIADO Y EP'!I60</f>
        <v>549703.48090909095</v>
      </c>
      <c r="M11" s="167">
        <f>'FLUJO ALIADO Y EP'!J60</f>
        <v>548070.45090909093</v>
      </c>
      <c r="N11" s="167">
        <f>'FLUJO ALIADO Y EP'!K60</f>
        <v>547627.29090909089</v>
      </c>
      <c r="O11" s="167">
        <f>'FLUJO ALIADO Y EP'!L60</f>
        <v>544854.8009090909</v>
      </c>
      <c r="P11" s="167">
        <f>'FLUJO ALIADO Y EP'!M60</f>
        <v>543936.81090909091</v>
      </c>
      <c r="Q11" s="167">
        <f>SUM(F11:P11)</f>
        <v>23763138.769999996</v>
      </c>
    </row>
    <row r="12" spans="5:17" x14ac:dyDescent="0.25">
      <c r="E12" s="97" t="str">
        <f>'FLUJO ALIADO Y EP'!B61</f>
        <v>Pago del estudio de la Alianza</v>
      </c>
      <c r="F12" s="167">
        <f>'FLUJO ALIADO Y EP'!C61</f>
        <v>50000</v>
      </c>
      <c r="G12" s="167">
        <f>'FLUJO ALIADO Y EP'!D61</f>
        <v>50000</v>
      </c>
      <c r="H12" s="167">
        <f>'FLUJO ALIADO Y EP'!E61</f>
        <v>0</v>
      </c>
      <c r="I12" s="167">
        <f>'FLUJO ALIADO Y EP'!F61</f>
        <v>0</v>
      </c>
      <c r="J12" s="167">
        <f>'FLUJO ALIADO Y EP'!G61</f>
        <v>0</v>
      </c>
      <c r="K12" s="167">
        <f>'FLUJO ALIADO Y EP'!H61</f>
        <v>0</v>
      </c>
      <c r="L12" s="167">
        <f>'FLUJO ALIADO Y EP'!I61</f>
        <v>0</v>
      </c>
      <c r="M12" s="167">
        <f>'FLUJO ALIADO Y EP'!J61</f>
        <v>0</v>
      </c>
      <c r="N12" s="167">
        <f>'FLUJO ALIADO Y EP'!K61</f>
        <v>0</v>
      </c>
      <c r="O12" s="167">
        <f>'FLUJO ALIADO Y EP'!L61</f>
        <v>0</v>
      </c>
      <c r="P12" s="167">
        <f>'FLUJO ALIADO Y EP'!M61</f>
        <v>0</v>
      </c>
      <c r="Q12" s="167">
        <f>SUM(F12:P12)</f>
        <v>100000</v>
      </c>
    </row>
    <row r="13" spans="5:17" x14ac:dyDescent="0.25">
      <c r="E13" s="196" t="s">
        <v>342</v>
      </c>
      <c r="F13" s="213">
        <f>F11+F12</f>
        <v>3174868.8472424233</v>
      </c>
      <c r="G13" s="213">
        <f t="shared" ref="G13:P13" si="1">G11+G12</f>
        <v>9214768.4747424256</v>
      </c>
      <c r="H13" s="213">
        <f t="shared" si="1"/>
        <v>6596991.1907424219</v>
      </c>
      <c r="I13" s="213">
        <f t="shared" si="1"/>
        <v>1041703.5109090909</v>
      </c>
      <c r="J13" s="213">
        <f t="shared" si="1"/>
        <v>550896.66090909089</v>
      </c>
      <c r="K13" s="213">
        <f t="shared" si="1"/>
        <v>549717.25090909097</v>
      </c>
      <c r="L13" s="213">
        <f t="shared" si="1"/>
        <v>549703.48090909095</v>
      </c>
      <c r="M13" s="213">
        <f t="shared" si="1"/>
        <v>548070.45090909093</v>
      </c>
      <c r="N13" s="213">
        <f t="shared" si="1"/>
        <v>547627.29090909089</v>
      </c>
      <c r="O13" s="213">
        <f t="shared" si="1"/>
        <v>544854.8009090909</v>
      </c>
      <c r="P13" s="213">
        <f t="shared" si="1"/>
        <v>543936.81090909091</v>
      </c>
      <c r="Q13" s="167">
        <f>SUM(F13:P13)</f>
        <v>23863138.769999996</v>
      </c>
    </row>
    <row r="14" spans="5:17" x14ac:dyDescent="0.25">
      <c r="E14" s="97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97"/>
    </row>
    <row r="15" spans="5:17" x14ac:dyDescent="0.25">
      <c r="E15" s="196" t="s">
        <v>338</v>
      </c>
      <c r="F15" s="213">
        <f>+F9-F13</f>
        <v>-3174868.8472424233</v>
      </c>
      <c r="G15" s="213">
        <f t="shared" ref="G15:P15" si="2">+G9-G13</f>
        <v>-5714768.4747424256</v>
      </c>
      <c r="H15" s="213">
        <f t="shared" si="2"/>
        <v>-3546991.1907424219</v>
      </c>
      <c r="I15" s="213">
        <f t="shared" si="2"/>
        <v>2108296.4890909093</v>
      </c>
      <c r="J15" s="213">
        <f t="shared" si="2"/>
        <v>3049103.3390909089</v>
      </c>
      <c r="K15" s="213">
        <f t="shared" si="2"/>
        <v>3050282.749090909</v>
      </c>
      <c r="L15" s="213">
        <f t="shared" si="2"/>
        <v>3050296.519090909</v>
      </c>
      <c r="M15" s="213">
        <f t="shared" si="2"/>
        <v>3051929.5490909088</v>
      </c>
      <c r="N15" s="213">
        <f t="shared" si="2"/>
        <v>3052372.709090909</v>
      </c>
      <c r="O15" s="213">
        <f t="shared" si="2"/>
        <v>3105145.1990909092</v>
      </c>
      <c r="P15" s="213">
        <f t="shared" si="2"/>
        <v>3106063.189090909</v>
      </c>
      <c r="Q15" s="167">
        <f>SUM(F15:P15)</f>
        <v>11136861.23</v>
      </c>
    </row>
    <row r="16" spans="5:17" x14ac:dyDescent="0.25">
      <c r="E16" s="97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97"/>
    </row>
    <row r="17" spans="4:18" x14ac:dyDescent="0.25">
      <c r="E17" s="196" t="s">
        <v>339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97"/>
    </row>
    <row r="18" spans="4:18" x14ac:dyDescent="0.25">
      <c r="E18" s="97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97"/>
    </row>
    <row r="19" spans="4:18" x14ac:dyDescent="0.25">
      <c r="E19" s="97" t="s">
        <v>304</v>
      </c>
      <c r="F19" s="98">
        <f>+'FLUJO ALIADO Y EP'!C5*'FLUJO ALIADO Y EP'!$C$14</f>
        <v>128008.45414582653</v>
      </c>
      <c r="G19" s="98">
        <f>+'FLUJO ALIADO Y EP'!D5*'FLUJO ALIADO Y EP'!$C$14</f>
        <v>408068.52670606691</v>
      </c>
      <c r="H19" s="98">
        <f>+'FLUJO ALIADO Y EP'!E5*'FLUJO ALIADO Y EP'!$C$14</f>
        <v>289004.97651040967</v>
      </c>
      <c r="I19" s="98">
        <f>+'FLUJO ALIADO Y EP'!F5*'FLUJO ALIADO Y EP'!$C$14</f>
        <v>31415.551741921401</v>
      </c>
      <c r="J19" s="98">
        <f>+'FLUJO ALIADO Y EP'!G5*'FLUJO ALIADO Y EP'!$C$14</f>
        <v>8657.6566606487195</v>
      </c>
      <c r="K19" s="98">
        <f>+'FLUJO ALIADO Y EP'!H5*'FLUJO ALIADO Y EP'!$C$14</f>
        <v>8602.9693859340259</v>
      </c>
      <c r="L19" s="98">
        <f>+'FLUJO ALIADO Y EP'!I5*'FLUJO ALIADO Y EP'!$C$14</f>
        <v>8602.3308939992257</v>
      </c>
      <c r="M19" s="98">
        <f>+'FLUJO ALIADO Y EP'!J5*'FLUJO ALIADO Y EP'!$C$14</f>
        <v>8526.6100164186246</v>
      </c>
      <c r="N19" s="98">
        <f>+'FLUJO ALIADO Y EP'!K5*'FLUJO ALIADO Y EP'!$C$14</f>
        <v>8506.0614263078369</v>
      </c>
      <c r="O19" s="98">
        <f>+'FLUJO ALIADO Y EP'!L5*'FLUJO ALIADO Y EP'!$C$14</f>
        <v>8377.5056888851068</v>
      </c>
      <c r="P19" s="98">
        <f>+'FLUJO ALIADO Y EP'!M5*'FLUJO ALIADO Y EP'!$C$14</f>
        <v>8334.9400235818266</v>
      </c>
      <c r="Q19" s="98">
        <f>SUM(F19:P19)</f>
        <v>916105.58319999988</v>
      </c>
      <c r="R19" s="8"/>
    </row>
    <row r="20" spans="4:18" x14ac:dyDescent="0.25">
      <c r="E20" s="97" t="s">
        <v>305</v>
      </c>
      <c r="F20" s="98">
        <f>+'FLUJO ALIADO Y EP'!C7*'FLUJO ALIADO Y EP'!$C$15</f>
        <v>29134.544072727273</v>
      </c>
      <c r="G20" s="98">
        <f>+'FLUJO ALIADO Y EP'!D7*'FLUJO ALIADO Y EP'!$C$15</f>
        <v>29134.544072727273</v>
      </c>
      <c r="H20" s="98">
        <f>+'FLUJO ALIADO Y EP'!E7*'FLUJO ALIADO Y EP'!$C$15</f>
        <v>29134.544072727273</v>
      </c>
      <c r="I20" s="98">
        <f>+'FLUJO ALIADO Y EP'!F7*'FLUJO ALIADO Y EP'!$C$15</f>
        <v>29134.544072727273</v>
      </c>
      <c r="J20" s="98">
        <f>+'FLUJO ALIADO Y EP'!G7*'FLUJO ALIADO Y EP'!$C$15</f>
        <v>29134.544072727273</v>
      </c>
      <c r="K20" s="98">
        <f>+'FLUJO ALIADO Y EP'!H7*'FLUJO ALIADO Y EP'!$C$15</f>
        <v>29134.544072727273</v>
      </c>
      <c r="L20" s="98">
        <f>+'FLUJO ALIADO Y EP'!I7*'FLUJO ALIADO Y EP'!$C$15</f>
        <v>29134.544072727273</v>
      </c>
      <c r="M20" s="98">
        <f>+'FLUJO ALIADO Y EP'!J7*'FLUJO ALIADO Y EP'!$C$15</f>
        <v>29134.544072727273</v>
      </c>
      <c r="N20" s="98">
        <f>+'FLUJO ALIADO Y EP'!K7*'FLUJO ALIADO Y EP'!$C$15</f>
        <v>29134.544072727273</v>
      </c>
      <c r="O20" s="98">
        <f>+'FLUJO ALIADO Y EP'!L7*'FLUJO ALIADO Y EP'!$C$15</f>
        <v>29134.544072727273</v>
      </c>
      <c r="P20" s="98">
        <f>+'FLUJO ALIADO Y EP'!M7*'FLUJO ALIADO Y EP'!$C$15</f>
        <v>29134.544072727273</v>
      </c>
      <c r="Q20" s="98">
        <f t="shared" ref="Q20:Q21" si="3">SUM(F20:P20)</f>
        <v>320479.98479999998</v>
      </c>
    </row>
    <row r="21" spans="4:18" x14ac:dyDescent="0.25">
      <c r="E21" s="97" t="s">
        <v>313</v>
      </c>
      <c r="F21" s="98">
        <f>+'FLUJO ALIADO Y EP'!C6*'FLUJO ALIADO Y EP'!$C$16</f>
        <v>92846.509560840073</v>
      </c>
      <c r="G21" s="98">
        <f>+'FLUJO ALIADO Y EP'!D6*'FLUJO ALIADO Y EP'!$C$16</f>
        <v>295978.4072005999</v>
      </c>
      <c r="H21" s="98">
        <f>+'FLUJO ALIADO Y EP'!E6*'FLUJO ALIADO Y EP'!$C$16</f>
        <v>209619.77467625684</v>
      </c>
      <c r="I21" s="98">
        <f>+'FLUJO ALIADO Y EP'!F6*'FLUJO ALIADO Y EP'!$C$16</f>
        <v>22786.185058078594</v>
      </c>
      <c r="J21" s="98">
        <f>+'FLUJO ALIADO Y EP'!G6*'FLUJO ALIADO Y EP'!$C$16</f>
        <v>6279.5321393512786</v>
      </c>
      <c r="K21" s="98">
        <f>+'FLUJO ALIADO Y EP'!H6*'FLUJO ALIADO Y EP'!$C$16</f>
        <v>6239.8666140659734</v>
      </c>
      <c r="L21" s="98">
        <f>+'FLUJO ALIADO Y EP'!I6*'FLUJO ALIADO Y EP'!$C$16</f>
        <v>6239.4035060007718</v>
      </c>
      <c r="M21" s="98">
        <f>+'FLUJO ALIADO Y EP'!J6*'FLUJO ALIADO Y EP'!$C$16</f>
        <v>6184.4819835813742</v>
      </c>
      <c r="N21" s="98">
        <f>+'FLUJO ALIADO Y EP'!K6*'FLUJO ALIADO Y EP'!$C$16</f>
        <v>6169.5777736921609</v>
      </c>
      <c r="O21" s="98">
        <f>+'FLUJO ALIADO Y EP'!L6*'FLUJO ALIADO Y EP'!$C$16</f>
        <v>6076.3343111148924</v>
      </c>
      <c r="P21" s="98">
        <f>+'FLUJO ALIADO Y EP'!M6*'FLUJO ALIADO Y EP'!$C$16</f>
        <v>6045.4607764181728</v>
      </c>
      <c r="Q21" s="98">
        <f t="shared" si="3"/>
        <v>664465.53359999997</v>
      </c>
    </row>
    <row r="22" spans="4:18" x14ac:dyDescent="0.25">
      <c r="E22" s="196" t="s">
        <v>343</v>
      </c>
      <c r="F22" s="98">
        <f>SUM(F19:F21)</f>
        <v>249989.50777939387</v>
      </c>
      <c r="G22" s="98">
        <f t="shared" ref="G22:P22" si="4">SUM(G19:G21)</f>
        <v>733181.47797939414</v>
      </c>
      <c r="H22" s="98">
        <f t="shared" si="4"/>
        <v>527759.29525939375</v>
      </c>
      <c r="I22" s="98">
        <f t="shared" si="4"/>
        <v>83336.280872727264</v>
      </c>
      <c r="J22" s="98">
        <f t="shared" si="4"/>
        <v>44071.732872727269</v>
      </c>
      <c r="K22" s="98">
        <f t="shared" si="4"/>
        <v>43977.380072727276</v>
      </c>
      <c r="L22" s="98">
        <f t="shared" si="4"/>
        <v>43976.278472727274</v>
      </c>
      <c r="M22" s="98">
        <f t="shared" si="4"/>
        <v>43845.636072727277</v>
      </c>
      <c r="N22" s="98">
        <f t="shared" si="4"/>
        <v>43810.18327272727</v>
      </c>
      <c r="O22" s="98">
        <f t="shared" si="4"/>
        <v>43588.384072727269</v>
      </c>
      <c r="P22" s="98">
        <f t="shared" si="4"/>
        <v>43514.944872727268</v>
      </c>
      <c r="Q22" s="98">
        <f>SUM(F22:P22)</f>
        <v>1901051.1016000002</v>
      </c>
    </row>
    <row r="23" spans="4:18" x14ac:dyDescent="0.25">
      <c r="D23" s="11"/>
      <c r="E23" s="196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</row>
    <row r="24" spans="4:18" x14ac:dyDescent="0.25">
      <c r="E24" s="196" t="s">
        <v>344</v>
      </c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4:18" x14ac:dyDescent="0.25">
      <c r="E25" s="196" t="s">
        <v>379</v>
      </c>
      <c r="F25" s="98">
        <f>'Financiamiento '!D10</f>
        <v>114004.18298242851</v>
      </c>
      <c r="G25" s="98">
        <f>'Financiamiento '!E10</f>
        <v>418855.76496719028</v>
      </c>
      <c r="H25" s="98">
        <f>'Financiamiento '!F10</f>
        <v>903529.14168139489</v>
      </c>
      <c r="I25" s="98">
        <f>'Financiamiento '!G10</f>
        <v>1131284.7796252812</v>
      </c>
      <c r="J25" s="98">
        <f>'Financiamiento '!H10</f>
        <v>1013906.8391888018</v>
      </c>
      <c r="K25" s="98">
        <f>'Financiamiento '!I10</f>
        <v>885964.88411303912</v>
      </c>
      <c r="L25" s="98">
        <f>'Financiamiento '!J10</f>
        <v>746508.15308045782</v>
      </c>
      <c r="M25" s="98">
        <f>'Financiamiento '!K10</f>
        <v>594500.31625494431</v>
      </c>
      <c r="N25" s="98">
        <f>'Financiamiento '!L10</f>
        <v>428811.77411513426</v>
      </c>
      <c r="O25" s="98">
        <f>'Financiamiento '!M10</f>
        <v>248211.26318274153</v>
      </c>
      <c r="P25" s="98">
        <f>'Financiamiento '!N10</f>
        <v>51356.706266433335</v>
      </c>
      <c r="Q25" s="98">
        <f>SUM(F25:P25)</f>
        <v>6536933.8054578463</v>
      </c>
    </row>
    <row r="26" spans="4:18" x14ac:dyDescent="0.25">
      <c r="E26" s="196" t="s">
        <v>380</v>
      </c>
      <c r="F26" s="98">
        <f>F25</f>
        <v>114004.18298242851</v>
      </c>
      <c r="G26" s="98">
        <f t="shared" ref="G26:P26" si="5">G25</f>
        <v>418855.76496719028</v>
      </c>
      <c r="H26" s="98">
        <f t="shared" si="5"/>
        <v>903529.14168139489</v>
      </c>
      <c r="I26" s="98">
        <f t="shared" si="5"/>
        <v>1131284.7796252812</v>
      </c>
      <c r="J26" s="98">
        <f t="shared" si="5"/>
        <v>1013906.8391888018</v>
      </c>
      <c r="K26" s="98">
        <f t="shared" si="5"/>
        <v>885964.88411303912</v>
      </c>
      <c r="L26" s="98">
        <f t="shared" si="5"/>
        <v>746508.15308045782</v>
      </c>
      <c r="M26" s="98">
        <f t="shared" si="5"/>
        <v>594500.31625494431</v>
      </c>
      <c r="N26" s="98">
        <f t="shared" si="5"/>
        <v>428811.77411513426</v>
      </c>
      <c r="O26" s="98">
        <f t="shared" si="5"/>
        <v>248211.26318274153</v>
      </c>
      <c r="P26" s="98">
        <f t="shared" si="5"/>
        <v>51356.706266433335</v>
      </c>
      <c r="Q26" s="98">
        <f>SUM(F26:P26)</f>
        <v>6536933.8054578463</v>
      </c>
    </row>
    <row r="28" spans="4:18" x14ac:dyDescent="0.25">
      <c r="E28" s="196" t="s">
        <v>345</v>
      </c>
      <c r="F28" s="98">
        <f>+F15+F22-F26</f>
        <v>-3038883.522445458</v>
      </c>
      <c r="G28" s="98">
        <f t="shared" ref="G28:P28" si="6">+G15+G22-G26</f>
        <v>-5400442.761730222</v>
      </c>
      <c r="H28" s="98">
        <f t="shared" si="6"/>
        <v>-3922761.0371644231</v>
      </c>
      <c r="I28" s="98">
        <f t="shared" si="6"/>
        <v>1060347.9903383553</v>
      </c>
      <c r="J28" s="98">
        <f t="shared" si="6"/>
        <v>2079268.2327748344</v>
      </c>
      <c r="K28" s="98">
        <f t="shared" si="6"/>
        <v>2208295.245050597</v>
      </c>
      <c r="L28" s="98">
        <f t="shared" si="6"/>
        <v>2347764.6444831784</v>
      </c>
      <c r="M28" s="98">
        <f t="shared" si="6"/>
        <v>2501274.8689086922</v>
      </c>
      <c r="N28" s="98">
        <f t="shared" si="6"/>
        <v>2667371.1182485018</v>
      </c>
      <c r="O28" s="98">
        <f t="shared" si="6"/>
        <v>2900522.3199808947</v>
      </c>
      <c r="P28" s="98">
        <f t="shared" si="6"/>
        <v>3098221.4276972027</v>
      </c>
      <c r="Q28" s="98">
        <f>SUM(F28:P28)</f>
        <v>6500978.5261421539</v>
      </c>
    </row>
    <row r="29" spans="4:18" x14ac:dyDescent="0.25">
      <c r="E29" s="97" t="s">
        <v>346</v>
      </c>
      <c r="F29" s="98">
        <f>IF(F28&gt;0,F28,0)</f>
        <v>0</v>
      </c>
      <c r="G29" s="98">
        <f t="shared" ref="G29:P29" si="7">IF(G28&gt;0,G28,0)</f>
        <v>0</v>
      </c>
      <c r="H29" s="98">
        <f t="shared" si="7"/>
        <v>0</v>
      </c>
      <c r="I29" s="98">
        <f t="shared" si="7"/>
        <v>1060347.9903383553</v>
      </c>
      <c r="J29" s="98">
        <f t="shared" si="7"/>
        <v>2079268.2327748344</v>
      </c>
      <c r="K29" s="98">
        <f t="shared" si="7"/>
        <v>2208295.245050597</v>
      </c>
      <c r="L29" s="98">
        <f t="shared" si="7"/>
        <v>2347764.6444831784</v>
      </c>
      <c r="M29" s="98">
        <f t="shared" si="7"/>
        <v>2501274.8689086922</v>
      </c>
      <c r="N29" s="98">
        <f t="shared" si="7"/>
        <v>2667371.1182485018</v>
      </c>
      <c r="O29" s="98">
        <f t="shared" si="7"/>
        <v>2900522.3199808947</v>
      </c>
      <c r="P29" s="98">
        <f t="shared" si="7"/>
        <v>3098221.4276972027</v>
      </c>
      <c r="Q29" s="98">
        <f>SUM(F29:P29)</f>
        <v>18863065.847482257</v>
      </c>
    </row>
    <row r="30" spans="4:18" x14ac:dyDescent="0.25">
      <c r="E30" s="97" t="s">
        <v>347</v>
      </c>
      <c r="F30" s="98"/>
      <c r="G30" s="98"/>
      <c r="H30" s="98">
        <f>0.75*H29</f>
        <v>0</v>
      </c>
      <c r="I30" s="98">
        <f t="shared" ref="I30:M30" si="8">0.75*I29</f>
        <v>795260.99275376648</v>
      </c>
      <c r="J30" s="98">
        <f t="shared" si="8"/>
        <v>1559451.1745811258</v>
      </c>
      <c r="K30" s="98">
        <f t="shared" si="8"/>
        <v>1656221.4337879478</v>
      </c>
      <c r="L30" s="98">
        <f t="shared" si="8"/>
        <v>1760823.4833623837</v>
      </c>
      <c r="M30" s="98">
        <f t="shared" si="8"/>
        <v>1875956.1516815191</v>
      </c>
      <c r="N30" s="98">
        <f t="shared" ref="N30:P30" si="9">N29</f>
        <v>2667371.1182485018</v>
      </c>
      <c r="O30" s="98">
        <f t="shared" si="9"/>
        <v>2900522.3199808947</v>
      </c>
      <c r="P30" s="98">
        <f t="shared" si="9"/>
        <v>3098221.4276972027</v>
      </c>
      <c r="Q30" s="98">
        <f>SUM(F30:P30)</f>
        <v>16313828.102093343</v>
      </c>
    </row>
    <row r="31" spans="4:18" x14ac:dyDescent="0.25">
      <c r="E31" s="97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4:18" x14ac:dyDescent="0.25">
      <c r="E32" s="97" t="s">
        <v>306</v>
      </c>
      <c r="F32" s="98">
        <f>+F30*0.15</f>
        <v>0</v>
      </c>
      <c r="G32" s="98">
        <f t="shared" ref="G32:H32" si="10">+G30*0.15</f>
        <v>0</v>
      </c>
      <c r="H32" s="98">
        <f t="shared" si="10"/>
        <v>0</v>
      </c>
      <c r="I32" s="98">
        <f>+I30*0.15</f>
        <v>119289.14891306497</v>
      </c>
      <c r="J32" s="98">
        <f t="shared" ref="J32:P32" si="11">+J30*0.15</f>
        <v>233917.67618716886</v>
      </c>
      <c r="K32" s="98">
        <f t="shared" si="11"/>
        <v>248433.21506819216</v>
      </c>
      <c r="L32" s="98">
        <f t="shared" si="11"/>
        <v>264123.52250435756</v>
      </c>
      <c r="M32" s="98">
        <f t="shared" si="11"/>
        <v>281393.42275222787</v>
      </c>
      <c r="N32" s="98">
        <f t="shared" si="11"/>
        <v>400105.66773727525</v>
      </c>
      <c r="O32" s="98">
        <f t="shared" si="11"/>
        <v>435078.3479971342</v>
      </c>
      <c r="P32" s="98">
        <f t="shared" si="11"/>
        <v>464733.21415458038</v>
      </c>
      <c r="Q32" s="98">
        <f>SUM(F32:P32)</f>
        <v>2447074.2153140008</v>
      </c>
      <c r="R32" s="255"/>
    </row>
    <row r="33" spans="5:18" x14ac:dyDescent="0.25">
      <c r="E33" s="97" t="s">
        <v>307</v>
      </c>
      <c r="F33" s="98">
        <f>+F30-F32</f>
        <v>0</v>
      </c>
      <c r="G33" s="98">
        <f t="shared" ref="G33:P33" si="12">+G30-G32</f>
        <v>0</v>
      </c>
      <c r="H33" s="98">
        <f t="shared" si="12"/>
        <v>0</v>
      </c>
      <c r="I33" s="98">
        <f t="shared" si="12"/>
        <v>675971.84384070151</v>
      </c>
      <c r="J33" s="98">
        <f t="shared" si="12"/>
        <v>1325533.498393957</v>
      </c>
      <c r="K33" s="98">
        <f t="shared" si="12"/>
        <v>1407788.2187197555</v>
      </c>
      <c r="L33" s="98">
        <f t="shared" si="12"/>
        <v>1496699.9608580261</v>
      </c>
      <c r="M33" s="98">
        <f t="shared" si="12"/>
        <v>1594562.7289292912</v>
      </c>
      <c r="N33" s="98">
        <f t="shared" si="12"/>
        <v>2267265.4505112264</v>
      </c>
      <c r="O33" s="98">
        <f t="shared" si="12"/>
        <v>2465443.9719837606</v>
      </c>
      <c r="P33" s="98">
        <f t="shared" si="12"/>
        <v>2633488.2135426225</v>
      </c>
      <c r="Q33" s="98">
        <f>SUM(F33:P33)</f>
        <v>13866753.886779342</v>
      </c>
      <c r="R33" s="7"/>
    </row>
    <row r="34" spans="5:18" x14ac:dyDescent="0.25">
      <c r="E34" s="97" t="s">
        <v>308</v>
      </c>
      <c r="F34" s="98">
        <f>+F33*0.25</f>
        <v>0</v>
      </c>
      <c r="G34" s="98">
        <f t="shared" ref="G34:P34" si="13">+G33*0.25</f>
        <v>0</v>
      </c>
      <c r="H34" s="98">
        <f t="shared" si="13"/>
        <v>0</v>
      </c>
      <c r="I34" s="98">
        <f t="shared" si="13"/>
        <v>168992.96096017538</v>
      </c>
      <c r="J34" s="98">
        <f t="shared" si="13"/>
        <v>331383.37459848926</v>
      </c>
      <c r="K34" s="98">
        <f t="shared" si="13"/>
        <v>351947.05467993888</v>
      </c>
      <c r="L34" s="98">
        <f t="shared" si="13"/>
        <v>374174.99021450651</v>
      </c>
      <c r="M34" s="98">
        <f t="shared" si="13"/>
        <v>398640.68223232281</v>
      </c>
      <c r="N34" s="98">
        <f t="shared" si="13"/>
        <v>566816.36262780661</v>
      </c>
      <c r="O34" s="98">
        <f t="shared" si="13"/>
        <v>616360.99299594015</v>
      </c>
      <c r="P34" s="98">
        <f t="shared" si="13"/>
        <v>658372.05338565563</v>
      </c>
      <c r="Q34" s="98">
        <f>SUM(F34:P34)</f>
        <v>3466688.4716948355</v>
      </c>
      <c r="R34" s="255"/>
    </row>
    <row r="35" spans="5:18" x14ac:dyDescent="0.25">
      <c r="E35" s="214" t="s">
        <v>310</v>
      </c>
      <c r="F35" s="204">
        <f>+F34+F32</f>
        <v>0</v>
      </c>
      <c r="G35" s="204">
        <f t="shared" ref="G35:P35" si="14">+G34+G32</f>
        <v>0</v>
      </c>
      <c r="H35" s="204">
        <f t="shared" si="14"/>
        <v>0</v>
      </c>
      <c r="I35" s="204">
        <f t="shared" si="14"/>
        <v>288282.10987324035</v>
      </c>
      <c r="J35" s="204">
        <f t="shared" si="14"/>
        <v>565301.05078565818</v>
      </c>
      <c r="K35" s="204">
        <f t="shared" si="14"/>
        <v>600380.26974813105</v>
      </c>
      <c r="L35" s="204">
        <f t="shared" si="14"/>
        <v>638298.51271886402</v>
      </c>
      <c r="M35" s="204">
        <f t="shared" si="14"/>
        <v>680034.10498455074</v>
      </c>
      <c r="N35" s="204">
        <f t="shared" si="14"/>
        <v>966922.03036508185</v>
      </c>
      <c r="O35" s="204">
        <f t="shared" si="14"/>
        <v>1051439.3409930742</v>
      </c>
      <c r="P35" s="204">
        <f t="shared" si="14"/>
        <v>1123105.267540236</v>
      </c>
      <c r="Q35" s="204">
        <f>SUM(F35:P35)</f>
        <v>5913762.6870088363</v>
      </c>
      <c r="R35" s="7"/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Q142"/>
  <sheetViews>
    <sheetView workbookViewId="0">
      <selection activeCell="C3" sqref="C3"/>
    </sheetView>
  </sheetViews>
  <sheetFormatPr baseColWidth="10" defaultColWidth="9.140625" defaultRowHeight="15" x14ac:dyDescent="0.25"/>
  <cols>
    <col min="1" max="1" width="30.42578125" style="72" customWidth="1"/>
    <col min="2" max="3" width="12.5703125" style="72"/>
    <col min="4" max="5" width="12.7109375" style="72" bestFit="1" customWidth="1"/>
    <col min="6" max="9" width="13.5703125" style="72" bestFit="1" customWidth="1"/>
    <col min="10" max="11" width="11.42578125" style="72" bestFit="1" customWidth="1"/>
    <col min="12" max="12" width="11.28515625" style="72" bestFit="1" customWidth="1"/>
    <col min="13" max="15" width="11.42578125" style="72" bestFit="1" customWidth="1"/>
    <col min="16" max="16" width="11" style="72" bestFit="1" customWidth="1"/>
    <col min="17" max="17" width="10.5703125" style="72" bestFit="1" customWidth="1"/>
    <col min="18" max="18" width="11.28515625" style="72" bestFit="1" customWidth="1"/>
    <col min="19" max="19" width="10.7109375" style="72" bestFit="1" customWidth="1"/>
    <col min="20" max="20" width="11.5703125" style="72" bestFit="1" customWidth="1"/>
    <col min="21" max="21" width="10.42578125" style="72" bestFit="1" customWidth="1"/>
    <col min="22" max="22" width="9.85546875" style="72" bestFit="1" customWidth="1"/>
    <col min="23" max="23" width="11" style="72" bestFit="1" customWidth="1"/>
    <col min="24" max="24" width="10.85546875" style="72" bestFit="1" customWidth="1"/>
    <col min="25" max="25" width="10.42578125" style="72" bestFit="1" customWidth="1"/>
    <col min="26" max="26" width="11" style="72" bestFit="1" customWidth="1"/>
    <col min="27" max="27" width="10.28515625" style="72" bestFit="1" customWidth="1"/>
    <col min="28" max="28" width="11" style="72" bestFit="1" customWidth="1"/>
    <col min="29" max="29" width="10.5703125" style="72" bestFit="1" customWidth="1"/>
    <col min="30" max="30" width="11.28515625" style="72" bestFit="1" customWidth="1"/>
    <col min="31" max="31" width="10.7109375" style="72" bestFit="1" customWidth="1"/>
    <col min="32" max="32" width="11.5703125" style="72" bestFit="1" customWidth="1"/>
    <col min="33" max="33" width="10.42578125" style="72" bestFit="1" customWidth="1"/>
    <col min="34" max="34" width="9.85546875" style="72" bestFit="1" customWidth="1"/>
    <col min="35" max="35" width="11" style="72" bestFit="1" customWidth="1"/>
    <col min="36" max="36" width="10.85546875" style="72" bestFit="1" customWidth="1"/>
    <col min="37" max="37" width="10.42578125" style="72" bestFit="1" customWidth="1"/>
    <col min="38" max="38" width="11" style="72" bestFit="1" customWidth="1"/>
    <col min="39" max="39" width="10.28515625" style="72" bestFit="1" customWidth="1"/>
    <col min="40" max="40" width="11" style="72" bestFit="1" customWidth="1"/>
    <col min="41" max="41" width="10.5703125" style="72" bestFit="1" customWidth="1"/>
    <col min="42" max="42" width="11.28515625" style="72" bestFit="1" customWidth="1"/>
    <col min="43" max="43" width="10.7109375" style="72" bestFit="1" customWidth="1"/>
    <col min="44" max="44" width="11.5703125" style="72" bestFit="1" customWidth="1"/>
    <col min="45" max="45" width="10.42578125" style="72" bestFit="1" customWidth="1"/>
    <col min="46" max="46" width="9.85546875" style="72" bestFit="1" customWidth="1"/>
    <col min="47" max="47" width="11" style="72" bestFit="1" customWidth="1"/>
    <col min="48" max="48" width="10.85546875" style="72" bestFit="1" customWidth="1"/>
    <col min="49" max="49" width="10.42578125" style="72" bestFit="1" customWidth="1"/>
    <col min="50" max="50" width="11" style="72" bestFit="1" customWidth="1"/>
    <col min="51" max="51" width="10.28515625" style="72" bestFit="1" customWidth="1"/>
    <col min="52" max="52" width="11" style="72" bestFit="1" customWidth="1"/>
    <col min="53" max="53" width="10.5703125" style="72" bestFit="1" customWidth="1"/>
    <col min="54" max="54" width="11.28515625" style="72" bestFit="1" customWidth="1"/>
    <col min="55" max="55" width="10.7109375" style="72" bestFit="1" customWidth="1"/>
    <col min="56" max="56" width="11.5703125" style="72" bestFit="1" customWidth="1"/>
    <col min="57" max="57" width="10.42578125" style="72" bestFit="1" customWidth="1"/>
    <col min="58" max="58" width="9.85546875" style="72" bestFit="1" customWidth="1"/>
    <col min="59" max="59" width="11" style="72" bestFit="1" customWidth="1"/>
    <col min="60" max="60" width="10.85546875" style="72" bestFit="1" customWidth="1"/>
    <col min="61" max="61" width="10.42578125" style="72" bestFit="1" customWidth="1"/>
    <col min="62" max="62" width="11" style="72" bestFit="1" customWidth="1"/>
    <col min="63" max="63" width="10.28515625" style="72" bestFit="1" customWidth="1"/>
    <col min="64" max="64" width="11" style="72" bestFit="1" customWidth="1"/>
    <col min="65" max="65" width="10.5703125" style="72" bestFit="1" customWidth="1"/>
    <col min="66" max="66" width="11.28515625" style="72" bestFit="1" customWidth="1"/>
    <col min="67" max="67" width="10.7109375" style="72" bestFit="1" customWidth="1"/>
    <col min="68" max="68" width="11.5703125" style="72" bestFit="1" customWidth="1"/>
    <col min="69" max="69" width="10.42578125" style="72" bestFit="1" customWidth="1"/>
    <col min="70" max="70" width="9.85546875" style="72" bestFit="1" customWidth="1"/>
    <col min="71" max="71" width="11" style="72" bestFit="1" customWidth="1"/>
    <col min="72" max="72" width="10.85546875" style="72" bestFit="1" customWidth="1"/>
    <col min="73" max="73" width="10.42578125" style="72" bestFit="1" customWidth="1"/>
    <col min="74" max="74" width="11" style="72" bestFit="1" customWidth="1"/>
    <col min="75" max="75" width="10.28515625" style="72" bestFit="1" customWidth="1"/>
    <col min="76" max="76" width="11" style="72" bestFit="1" customWidth="1"/>
    <col min="77" max="77" width="10.5703125" style="72" bestFit="1" customWidth="1"/>
    <col min="78" max="78" width="11.28515625" style="72" bestFit="1" customWidth="1"/>
    <col min="79" max="79" width="10.7109375" style="72" bestFit="1" customWidth="1"/>
    <col min="80" max="80" width="11.5703125" style="72" bestFit="1" customWidth="1"/>
    <col min="81" max="81" width="10.42578125" style="72" bestFit="1" customWidth="1"/>
    <col min="82" max="82" width="9.85546875" style="72" bestFit="1" customWidth="1"/>
    <col min="83" max="83" width="11" style="72" bestFit="1" customWidth="1"/>
    <col min="84" max="84" width="10.85546875" style="72" bestFit="1" customWidth="1"/>
    <col min="85" max="85" width="10.42578125" style="72" bestFit="1" customWidth="1"/>
    <col min="86" max="86" width="11" style="72" bestFit="1" customWidth="1"/>
    <col min="87" max="87" width="10.28515625" style="72" bestFit="1" customWidth="1"/>
    <col min="88" max="88" width="11" style="72" bestFit="1" customWidth="1"/>
    <col min="89" max="89" width="10.5703125" style="72" bestFit="1" customWidth="1"/>
    <col min="90" max="90" width="11.28515625" style="72" bestFit="1" customWidth="1"/>
    <col min="91" max="91" width="10.7109375" style="72" bestFit="1" customWidth="1"/>
    <col min="92" max="92" width="11.5703125" style="72" bestFit="1" customWidth="1"/>
    <col min="93" max="93" width="10.42578125" style="72" bestFit="1" customWidth="1"/>
    <col min="94" max="94" width="9.85546875" style="72" bestFit="1" customWidth="1"/>
    <col min="95" max="95" width="11" style="72" bestFit="1" customWidth="1"/>
    <col min="96" max="96" width="10.85546875" style="72" bestFit="1" customWidth="1"/>
    <col min="97" max="97" width="10.42578125" style="72" bestFit="1" customWidth="1"/>
    <col min="98" max="98" width="11" style="72" bestFit="1" customWidth="1"/>
    <col min="99" max="99" width="10.28515625" style="72" bestFit="1" customWidth="1"/>
    <col min="100" max="100" width="11" style="72" bestFit="1" customWidth="1"/>
    <col min="101" max="101" width="10.5703125" style="72" bestFit="1" customWidth="1"/>
    <col min="102" max="102" width="11.28515625" style="72" bestFit="1" customWidth="1"/>
    <col min="103" max="103" width="10.7109375" style="72" bestFit="1" customWidth="1"/>
    <col min="104" max="104" width="11.5703125" style="72" bestFit="1" customWidth="1"/>
    <col min="105" max="105" width="10.42578125" style="72" bestFit="1" customWidth="1"/>
    <col min="106" max="106" width="9.85546875" style="72" bestFit="1" customWidth="1"/>
    <col min="107" max="107" width="11" style="72" bestFit="1" customWidth="1"/>
    <col min="108" max="108" width="10.85546875" style="72" bestFit="1" customWidth="1"/>
    <col min="109" max="109" width="10.42578125" style="72" bestFit="1" customWidth="1"/>
    <col min="110" max="110" width="11" style="72" bestFit="1" customWidth="1"/>
    <col min="111" max="111" width="10.28515625" style="72" bestFit="1" customWidth="1"/>
    <col min="112" max="112" width="11" style="72" bestFit="1" customWidth="1"/>
    <col min="113" max="113" width="10.5703125" style="72" bestFit="1" customWidth="1"/>
    <col min="114" max="114" width="11.28515625" style="72" bestFit="1" customWidth="1"/>
    <col min="115" max="115" width="10.7109375" style="72" bestFit="1" customWidth="1"/>
    <col min="116" max="116" width="11.5703125" style="72" bestFit="1" customWidth="1"/>
    <col min="117" max="117" width="10.42578125" style="72" bestFit="1" customWidth="1"/>
    <col min="118" max="118" width="9.85546875" style="72" bestFit="1" customWidth="1"/>
    <col min="119" max="119" width="11" style="72" bestFit="1" customWidth="1"/>
    <col min="120" max="120" width="10.85546875" style="72" bestFit="1" customWidth="1"/>
    <col min="121" max="121" width="10.42578125" style="72" bestFit="1" customWidth="1"/>
    <col min="122" max="122" width="11" style="72" bestFit="1" customWidth="1"/>
    <col min="123" max="123" width="10.28515625" style="72" bestFit="1" customWidth="1"/>
    <col min="124" max="124" width="11" style="72" bestFit="1" customWidth="1"/>
    <col min="125" max="125" width="10.5703125" style="72" bestFit="1" customWidth="1"/>
    <col min="126" max="126" width="11.28515625" style="72" bestFit="1" customWidth="1"/>
    <col min="127" max="127" width="10.7109375" style="72" bestFit="1" customWidth="1"/>
    <col min="128" max="128" width="11.5703125" style="72" bestFit="1" customWidth="1"/>
    <col min="129" max="129" width="10.42578125" style="72" bestFit="1" customWidth="1"/>
    <col min="130" max="130" width="9.85546875" style="72" bestFit="1" customWidth="1"/>
    <col min="131" max="131" width="11" style="72" bestFit="1" customWidth="1"/>
    <col min="132" max="132" width="10.85546875" style="72" bestFit="1" customWidth="1"/>
    <col min="133" max="133" width="10.42578125" style="72" bestFit="1" customWidth="1"/>
    <col min="134" max="134" width="11" style="72" bestFit="1" customWidth="1"/>
    <col min="135" max="135" width="10.28515625" style="72" bestFit="1" customWidth="1"/>
    <col min="136" max="136" width="11" style="72" bestFit="1" customWidth="1"/>
    <col min="137" max="137" width="10.5703125" style="72" bestFit="1" customWidth="1"/>
    <col min="138" max="138" width="11.28515625" style="72" bestFit="1" customWidth="1"/>
    <col min="139" max="139" width="10.7109375" style="72" bestFit="1" customWidth="1"/>
    <col min="140" max="140" width="11.5703125" style="72" bestFit="1" customWidth="1"/>
    <col min="141" max="141" width="10.42578125" style="72" bestFit="1" customWidth="1"/>
    <col min="142" max="142" width="9.85546875" style="72" bestFit="1" customWidth="1"/>
    <col min="143" max="143" width="11" style="72" bestFit="1" customWidth="1"/>
    <col min="144" max="144" width="10.85546875" style="72" bestFit="1" customWidth="1"/>
    <col min="145" max="145" width="10.42578125" style="72" bestFit="1" customWidth="1"/>
    <col min="146" max="146" width="11" style="72" bestFit="1" customWidth="1"/>
    <col min="147" max="147" width="10.28515625" style="72" bestFit="1" customWidth="1"/>
  </cols>
  <sheetData>
    <row r="1" spans="1:147" x14ac:dyDescent="0.25">
      <c r="D1" s="209"/>
    </row>
    <row r="2" spans="1:147" ht="18" x14ac:dyDescent="0.25">
      <c r="A2" s="264" t="s">
        <v>349</v>
      </c>
    </row>
    <row r="3" spans="1:147" ht="15.75" x14ac:dyDescent="0.25">
      <c r="A3" s="265" t="s">
        <v>350</v>
      </c>
      <c r="D3" s="216"/>
    </row>
    <row r="5" spans="1:147" ht="15.75" x14ac:dyDescent="0.25">
      <c r="A5" s="380" t="s">
        <v>351</v>
      </c>
      <c r="B5" s="386"/>
      <c r="C5" s="383" t="s">
        <v>45</v>
      </c>
      <c r="D5" s="266">
        <v>2020</v>
      </c>
      <c r="E5" s="267">
        <f>D5+1</f>
        <v>2021</v>
      </c>
      <c r="F5" s="267">
        <f t="shared" ref="F5:O5" si="0">E5+1</f>
        <v>2022</v>
      </c>
      <c r="G5" s="267">
        <f t="shared" si="0"/>
        <v>2023</v>
      </c>
      <c r="H5" s="267">
        <f t="shared" si="0"/>
        <v>2024</v>
      </c>
      <c r="I5" s="267">
        <f t="shared" si="0"/>
        <v>2025</v>
      </c>
      <c r="J5" s="267">
        <f t="shared" si="0"/>
        <v>2026</v>
      </c>
      <c r="K5" s="267">
        <f t="shared" si="0"/>
        <v>2027</v>
      </c>
      <c r="L5" s="267">
        <f t="shared" si="0"/>
        <v>2028</v>
      </c>
      <c r="M5" s="267">
        <f t="shared" si="0"/>
        <v>2029</v>
      </c>
      <c r="N5" s="267">
        <f t="shared" si="0"/>
        <v>2030</v>
      </c>
      <c r="O5" s="268">
        <f t="shared" si="0"/>
        <v>2031</v>
      </c>
      <c r="P5" s="217"/>
    </row>
    <row r="6" spans="1:147" ht="15.75" x14ac:dyDescent="0.25">
      <c r="A6" s="381"/>
      <c r="B6" s="387"/>
      <c r="C6" s="384"/>
      <c r="D6" s="269">
        <f>DATE(D5,1,1)</f>
        <v>43831</v>
      </c>
      <c r="E6" s="270">
        <f>DATE(E5,2,1)</f>
        <v>44228</v>
      </c>
      <c r="F6" s="270">
        <f t="shared" ref="F6:O6" si="1">DATE(F5,2,1)</f>
        <v>44593</v>
      </c>
      <c r="G6" s="270">
        <f t="shared" si="1"/>
        <v>44958</v>
      </c>
      <c r="H6" s="270">
        <f t="shared" si="1"/>
        <v>45323</v>
      </c>
      <c r="I6" s="270">
        <f t="shared" si="1"/>
        <v>45689</v>
      </c>
      <c r="J6" s="270">
        <f t="shared" si="1"/>
        <v>46054</v>
      </c>
      <c r="K6" s="270">
        <f t="shared" si="1"/>
        <v>46419</v>
      </c>
      <c r="L6" s="270">
        <f t="shared" si="1"/>
        <v>46784</v>
      </c>
      <c r="M6" s="270">
        <f t="shared" si="1"/>
        <v>47150</v>
      </c>
      <c r="N6" s="270">
        <f t="shared" si="1"/>
        <v>47515</v>
      </c>
      <c r="O6" s="271">
        <f t="shared" si="1"/>
        <v>47880</v>
      </c>
      <c r="P6" s="217"/>
    </row>
    <row r="7" spans="1:147" ht="15.75" x14ac:dyDescent="0.25">
      <c r="A7" s="382"/>
      <c r="B7" s="388"/>
      <c r="C7" s="385"/>
      <c r="D7" s="272">
        <f>DATE(D5,12,31)</f>
        <v>44196</v>
      </c>
      <c r="E7" s="272">
        <f>DATE(E5,2,29)</f>
        <v>44256</v>
      </c>
      <c r="F7" s="272">
        <f t="shared" ref="F7:O7" si="2">DATE(F5,2,29)</f>
        <v>44621</v>
      </c>
      <c r="G7" s="272">
        <f t="shared" si="2"/>
        <v>44986</v>
      </c>
      <c r="H7" s="272">
        <f t="shared" si="2"/>
        <v>45351</v>
      </c>
      <c r="I7" s="272">
        <f t="shared" si="2"/>
        <v>45717</v>
      </c>
      <c r="J7" s="272">
        <f t="shared" si="2"/>
        <v>46082</v>
      </c>
      <c r="K7" s="272">
        <f t="shared" si="2"/>
        <v>46447</v>
      </c>
      <c r="L7" s="272">
        <f t="shared" si="2"/>
        <v>46812</v>
      </c>
      <c r="M7" s="272">
        <f t="shared" si="2"/>
        <v>47178</v>
      </c>
      <c r="N7" s="272">
        <f t="shared" si="2"/>
        <v>47543</v>
      </c>
      <c r="O7" s="273">
        <f t="shared" si="2"/>
        <v>47908</v>
      </c>
      <c r="P7" s="217"/>
    </row>
    <row r="8" spans="1:147" x14ac:dyDescent="0.25">
      <c r="A8" s="218" t="s">
        <v>352</v>
      </c>
      <c r="B8" s="219"/>
      <c r="C8" s="220">
        <f>SUM(D8:S8)</f>
        <v>14485280.240480021</v>
      </c>
      <c r="D8" s="221">
        <f>'[1]Flujo de Caja'!D58</f>
        <v>2589200.4927319563</v>
      </c>
      <c r="E8" s="221">
        <f>'[1]Flujo de Caja'!E58</f>
        <v>4588218.0623076102</v>
      </c>
      <c r="F8" s="221">
        <f>'[1]Flujo de Caja'!F58</f>
        <v>7307861.6854404556</v>
      </c>
      <c r="G8" s="221">
        <f>'[1]Flujo de Caja'!G58</f>
        <v>0</v>
      </c>
      <c r="H8" s="221">
        <f>'[1]Flujo de Caja'!H58</f>
        <v>0</v>
      </c>
      <c r="I8" s="221">
        <f>'[1]Flujo de Caja'!I58</f>
        <v>0</v>
      </c>
      <c r="J8" s="221">
        <f>'[1]Flujo de Caja'!J58</f>
        <v>0</v>
      </c>
      <c r="K8" s="221">
        <f>'[1]Flujo de Caja'!K58</f>
        <v>0</v>
      </c>
      <c r="L8" s="221">
        <f>'[1]Flujo de Caja'!L58</f>
        <v>0</v>
      </c>
      <c r="M8" s="221">
        <f>'[1]Flujo de Caja'!M58</f>
        <v>0</v>
      </c>
      <c r="N8" s="221">
        <f>'[1]Flujo de Caja'!N58</f>
        <v>0</v>
      </c>
      <c r="O8" s="222">
        <v>0</v>
      </c>
      <c r="P8" s="217"/>
    </row>
    <row r="9" spans="1:147" x14ac:dyDescent="0.25">
      <c r="A9" s="223" t="s">
        <v>353</v>
      </c>
      <c r="B9" s="224"/>
      <c r="C9" s="220">
        <f>SUM(D9:S9)</f>
        <v>14485280.240480021</v>
      </c>
      <c r="D9" s="220">
        <f t="shared" ref="D9:O12" si="3">SUMIF($15:$15,D$5,18:18)</f>
        <v>83375.173043437491</v>
      </c>
      <c r="E9" s="220">
        <f t="shared" si="3"/>
        <v>350314.78676820232</v>
      </c>
      <c r="F9" s="220">
        <f t="shared" si="3"/>
        <v>886004.11293232441</v>
      </c>
      <c r="G9" s="220">
        <f t="shared" si="3"/>
        <v>1304199.3381831041</v>
      </c>
      <c r="H9" s="220">
        <f t="shared" si="3"/>
        <v>1421577.2786195835</v>
      </c>
      <c r="I9" s="220">
        <f t="shared" si="3"/>
        <v>1549519.2336953462</v>
      </c>
      <c r="J9" s="220">
        <f t="shared" si="3"/>
        <v>1688975.9647279275</v>
      </c>
      <c r="K9" s="220">
        <f t="shared" si="3"/>
        <v>1840983.8015534412</v>
      </c>
      <c r="L9" s="220">
        <f t="shared" si="3"/>
        <v>2006672.3436932508</v>
      </c>
      <c r="M9" s="220">
        <f t="shared" si="3"/>
        <v>2187272.8546256442</v>
      </c>
      <c r="N9" s="220">
        <f t="shared" si="3"/>
        <v>1166385.3526377594</v>
      </c>
      <c r="O9" s="225">
        <f t="shared" si="3"/>
        <v>0</v>
      </c>
      <c r="P9" s="217"/>
    </row>
    <row r="10" spans="1:147" x14ac:dyDescent="0.25">
      <c r="A10" s="226" t="s">
        <v>354</v>
      </c>
      <c r="B10" s="227"/>
      <c r="C10" s="228">
        <f t="shared" ref="C10:C11" si="4">SUM(D10:S10)</f>
        <v>6536933.8054578463</v>
      </c>
      <c r="D10" s="228">
        <f t="shared" si="3"/>
        <v>114004.18298242851</v>
      </c>
      <c r="E10" s="228">
        <f t="shared" si="3"/>
        <v>418855.76496719028</v>
      </c>
      <c r="F10" s="228">
        <f t="shared" si="3"/>
        <v>903529.14168139489</v>
      </c>
      <c r="G10" s="228">
        <f t="shared" si="3"/>
        <v>1131284.7796252812</v>
      </c>
      <c r="H10" s="228">
        <f t="shared" si="3"/>
        <v>1013906.8391888018</v>
      </c>
      <c r="I10" s="228">
        <f t="shared" si="3"/>
        <v>885964.88411303912</v>
      </c>
      <c r="J10" s="228">
        <f t="shared" si="3"/>
        <v>746508.15308045782</v>
      </c>
      <c r="K10" s="228">
        <f t="shared" si="3"/>
        <v>594500.31625494431</v>
      </c>
      <c r="L10" s="228">
        <f t="shared" si="3"/>
        <v>428811.77411513426</v>
      </c>
      <c r="M10" s="228">
        <f t="shared" si="3"/>
        <v>248211.26318274153</v>
      </c>
      <c r="N10" s="228">
        <f t="shared" si="3"/>
        <v>51356.706266433335</v>
      </c>
      <c r="O10" s="229">
        <f t="shared" si="3"/>
        <v>0</v>
      </c>
      <c r="P10" s="217"/>
    </row>
    <row r="11" spans="1:147" x14ac:dyDescent="0.25">
      <c r="A11" s="226" t="s">
        <v>355</v>
      </c>
      <c r="B11" s="227"/>
      <c r="C11" s="228">
        <f t="shared" si="4"/>
        <v>72426.401202400099</v>
      </c>
      <c r="D11" s="228">
        <f t="shared" si="3"/>
        <v>12946.002463659781</v>
      </c>
      <c r="E11" s="228">
        <f t="shared" si="3"/>
        <v>22941.09031153805</v>
      </c>
      <c r="F11" s="228">
        <f t="shared" si="3"/>
        <v>36539.308427202275</v>
      </c>
      <c r="G11" s="228">
        <f t="shared" si="3"/>
        <v>0</v>
      </c>
      <c r="H11" s="228">
        <f t="shared" si="3"/>
        <v>0</v>
      </c>
      <c r="I11" s="228">
        <f t="shared" si="3"/>
        <v>0</v>
      </c>
      <c r="J11" s="228">
        <f t="shared" si="3"/>
        <v>0</v>
      </c>
      <c r="K11" s="228">
        <f t="shared" si="3"/>
        <v>0</v>
      </c>
      <c r="L11" s="228">
        <f t="shared" si="3"/>
        <v>0</v>
      </c>
      <c r="M11" s="228">
        <f t="shared" si="3"/>
        <v>0</v>
      </c>
      <c r="N11" s="228">
        <f t="shared" si="3"/>
        <v>0</v>
      </c>
      <c r="O11" s="229">
        <f t="shared" si="3"/>
        <v>0</v>
      </c>
      <c r="P11" s="217"/>
    </row>
    <row r="12" spans="1:147" x14ac:dyDescent="0.25">
      <c r="A12" s="230" t="s">
        <v>356</v>
      </c>
      <c r="B12" s="231"/>
      <c r="C12" s="232"/>
      <c r="D12" s="232">
        <f t="shared" si="3"/>
        <v>23052678.915457293</v>
      </c>
      <c r="E12" s="232">
        <f t="shared" si="3"/>
        <v>69790644.619641945</v>
      </c>
      <c r="F12" s="232">
        <f t="shared" si="3"/>
        <v>142388323.35552809</v>
      </c>
      <c r="G12" s="232">
        <f t="shared" si="3"/>
        <v>150246119.61482435</v>
      </c>
      <c r="H12" s="232">
        <f t="shared" si="3"/>
        <v>133899045.26080632</v>
      </c>
      <c r="I12" s="232">
        <f t="shared" si="3"/>
        <v>116080734.21492678</v>
      </c>
      <c r="J12" s="232">
        <f t="shared" si="3"/>
        <v>96658775.174917966</v>
      </c>
      <c r="K12" s="232">
        <f t="shared" si="3"/>
        <v>75488839.82130836</v>
      </c>
      <c r="L12" s="232">
        <f t="shared" si="3"/>
        <v>52413610.285873927</v>
      </c>
      <c r="M12" s="232">
        <f t="shared" si="3"/>
        <v>27261610.092250384</v>
      </c>
      <c r="N12" s="232">
        <f t="shared" si="3"/>
        <v>3499156.0579132894</v>
      </c>
      <c r="O12" s="233">
        <f t="shared" si="3"/>
        <v>1.1525116860866547E-8</v>
      </c>
      <c r="P12" s="217"/>
    </row>
    <row r="13" spans="1:147" x14ac:dyDescent="0.25">
      <c r="C13" s="234"/>
      <c r="D13" s="234"/>
      <c r="E13" s="234"/>
    </row>
    <row r="15" spans="1:147" ht="15.75" x14ac:dyDescent="0.25">
      <c r="A15" s="380" t="s">
        <v>357</v>
      </c>
      <c r="B15" s="386"/>
      <c r="C15" s="383" t="s">
        <v>45</v>
      </c>
      <c r="D15" s="266">
        <v>2020</v>
      </c>
      <c r="E15" s="267">
        <v>2020</v>
      </c>
      <c r="F15" s="267">
        <v>2020</v>
      </c>
      <c r="G15" s="267">
        <v>2020</v>
      </c>
      <c r="H15" s="267">
        <v>2020</v>
      </c>
      <c r="I15" s="267">
        <v>2020</v>
      </c>
      <c r="J15" s="267">
        <v>2020</v>
      </c>
      <c r="K15" s="267">
        <v>2020</v>
      </c>
      <c r="L15" s="267">
        <v>2020</v>
      </c>
      <c r="M15" s="267">
        <v>2020</v>
      </c>
      <c r="N15" s="267">
        <v>2020</v>
      </c>
      <c r="O15" s="267">
        <v>2020</v>
      </c>
      <c r="P15" s="267">
        <f>O15+1</f>
        <v>2021</v>
      </c>
      <c r="Q15" s="267">
        <f t="shared" ref="Q15:AA15" si="5">P15</f>
        <v>2021</v>
      </c>
      <c r="R15" s="267">
        <f t="shared" si="5"/>
        <v>2021</v>
      </c>
      <c r="S15" s="267">
        <f t="shared" si="5"/>
        <v>2021</v>
      </c>
      <c r="T15" s="267">
        <f t="shared" si="5"/>
        <v>2021</v>
      </c>
      <c r="U15" s="267">
        <f t="shared" si="5"/>
        <v>2021</v>
      </c>
      <c r="V15" s="267">
        <f t="shared" si="5"/>
        <v>2021</v>
      </c>
      <c r="W15" s="267">
        <f t="shared" si="5"/>
        <v>2021</v>
      </c>
      <c r="X15" s="267">
        <f t="shared" si="5"/>
        <v>2021</v>
      </c>
      <c r="Y15" s="267">
        <f t="shared" si="5"/>
        <v>2021</v>
      </c>
      <c r="Z15" s="267">
        <f t="shared" si="5"/>
        <v>2021</v>
      </c>
      <c r="AA15" s="267">
        <f t="shared" si="5"/>
        <v>2021</v>
      </c>
      <c r="AB15" s="267">
        <f>AA15+1</f>
        <v>2022</v>
      </c>
      <c r="AC15" s="267">
        <f t="shared" ref="AC15:AM15" si="6">AB15</f>
        <v>2022</v>
      </c>
      <c r="AD15" s="267">
        <f t="shared" si="6"/>
        <v>2022</v>
      </c>
      <c r="AE15" s="267">
        <f t="shared" si="6"/>
        <v>2022</v>
      </c>
      <c r="AF15" s="267">
        <f t="shared" si="6"/>
        <v>2022</v>
      </c>
      <c r="AG15" s="267">
        <f t="shared" si="6"/>
        <v>2022</v>
      </c>
      <c r="AH15" s="267">
        <f t="shared" si="6"/>
        <v>2022</v>
      </c>
      <c r="AI15" s="267">
        <f t="shared" si="6"/>
        <v>2022</v>
      </c>
      <c r="AJ15" s="267">
        <f t="shared" si="6"/>
        <v>2022</v>
      </c>
      <c r="AK15" s="267">
        <f t="shared" si="6"/>
        <v>2022</v>
      </c>
      <c r="AL15" s="267">
        <f t="shared" si="6"/>
        <v>2022</v>
      </c>
      <c r="AM15" s="267">
        <f t="shared" si="6"/>
        <v>2022</v>
      </c>
      <c r="AN15" s="267">
        <f>AM15+1</f>
        <v>2023</v>
      </c>
      <c r="AO15" s="267">
        <f t="shared" ref="AO15:AY15" si="7">AN15</f>
        <v>2023</v>
      </c>
      <c r="AP15" s="267">
        <f t="shared" si="7"/>
        <v>2023</v>
      </c>
      <c r="AQ15" s="267">
        <f t="shared" si="7"/>
        <v>2023</v>
      </c>
      <c r="AR15" s="267">
        <f t="shared" si="7"/>
        <v>2023</v>
      </c>
      <c r="AS15" s="267">
        <f t="shared" si="7"/>
        <v>2023</v>
      </c>
      <c r="AT15" s="267">
        <f t="shared" si="7"/>
        <v>2023</v>
      </c>
      <c r="AU15" s="267">
        <f t="shared" si="7"/>
        <v>2023</v>
      </c>
      <c r="AV15" s="267">
        <f t="shared" si="7"/>
        <v>2023</v>
      </c>
      <c r="AW15" s="267">
        <f t="shared" si="7"/>
        <v>2023</v>
      </c>
      <c r="AX15" s="267">
        <f t="shared" si="7"/>
        <v>2023</v>
      </c>
      <c r="AY15" s="267">
        <f t="shared" si="7"/>
        <v>2023</v>
      </c>
      <c r="AZ15" s="267">
        <f>AY15+1</f>
        <v>2024</v>
      </c>
      <c r="BA15" s="267">
        <f t="shared" ref="BA15:BK15" si="8">AZ15</f>
        <v>2024</v>
      </c>
      <c r="BB15" s="267">
        <f t="shared" si="8"/>
        <v>2024</v>
      </c>
      <c r="BC15" s="267">
        <f t="shared" si="8"/>
        <v>2024</v>
      </c>
      <c r="BD15" s="267">
        <f t="shared" si="8"/>
        <v>2024</v>
      </c>
      <c r="BE15" s="267">
        <f t="shared" si="8"/>
        <v>2024</v>
      </c>
      <c r="BF15" s="267">
        <f t="shared" si="8"/>
        <v>2024</v>
      </c>
      <c r="BG15" s="267">
        <f t="shared" si="8"/>
        <v>2024</v>
      </c>
      <c r="BH15" s="267">
        <f t="shared" si="8"/>
        <v>2024</v>
      </c>
      <c r="BI15" s="267">
        <f t="shared" si="8"/>
        <v>2024</v>
      </c>
      <c r="BJ15" s="267">
        <f t="shared" si="8"/>
        <v>2024</v>
      </c>
      <c r="BK15" s="267">
        <f t="shared" si="8"/>
        <v>2024</v>
      </c>
      <c r="BL15" s="267">
        <f>BK15+1</f>
        <v>2025</v>
      </c>
      <c r="BM15" s="267">
        <f t="shared" ref="BM15:BW15" si="9">BL15</f>
        <v>2025</v>
      </c>
      <c r="BN15" s="267">
        <f t="shared" si="9"/>
        <v>2025</v>
      </c>
      <c r="BO15" s="267">
        <f t="shared" si="9"/>
        <v>2025</v>
      </c>
      <c r="BP15" s="267">
        <f t="shared" si="9"/>
        <v>2025</v>
      </c>
      <c r="BQ15" s="267">
        <f t="shared" si="9"/>
        <v>2025</v>
      </c>
      <c r="BR15" s="267">
        <f t="shared" si="9"/>
        <v>2025</v>
      </c>
      <c r="BS15" s="267">
        <f t="shared" si="9"/>
        <v>2025</v>
      </c>
      <c r="BT15" s="267">
        <f t="shared" si="9"/>
        <v>2025</v>
      </c>
      <c r="BU15" s="267">
        <f t="shared" si="9"/>
        <v>2025</v>
      </c>
      <c r="BV15" s="267">
        <f t="shared" si="9"/>
        <v>2025</v>
      </c>
      <c r="BW15" s="267">
        <f t="shared" si="9"/>
        <v>2025</v>
      </c>
      <c r="BX15" s="267">
        <f>BW15+1</f>
        <v>2026</v>
      </c>
      <c r="BY15" s="267">
        <f t="shared" ref="BY15:CI15" si="10">BX15</f>
        <v>2026</v>
      </c>
      <c r="BZ15" s="267">
        <f t="shared" si="10"/>
        <v>2026</v>
      </c>
      <c r="CA15" s="267">
        <f t="shared" si="10"/>
        <v>2026</v>
      </c>
      <c r="CB15" s="267">
        <f t="shared" si="10"/>
        <v>2026</v>
      </c>
      <c r="CC15" s="267">
        <f t="shared" si="10"/>
        <v>2026</v>
      </c>
      <c r="CD15" s="267">
        <f t="shared" si="10"/>
        <v>2026</v>
      </c>
      <c r="CE15" s="267">
        <f t="shared" si="10"/>
        <v>2026</v>
      </c>
      <c r="CF15" s="267">
        <f t="shared" si="10"/>
        <v>2026</v>
      </c>
      <c r="CG15" s="267">
        <f t="shared" si="10"/>
        <v>2026</v>
      </c>
      <c r="CH15" s="267">
        <f t="shared" si="10"/>
        <v>2026</v>
      </c>
      <c r="CI15" s="267">
        <f t="shared" si="10"/>
        <v>2026</v>
      </c>
      <c r="CJ15" s="267">
        <f>CI15+1</f>
        <v>2027</v>
      </c>
      <c r="CK15" s="267">
        <f t="shared" ref="CK15:CU15" si="11">CJ15</f>
        <v>2027</v>
      </c>
      <c r="CL15" s="267">
        <f t="shared" si="11"/>
        <v>2027</v>
      </c>
      <c r="CM15" s="267">
        <f t="shared" si="11"/>
        <v>2027</v>
      </c>
      <c r="CN15" s="267">
        <f t="shared" si="11"/>
        <v>2027</v>
      </c>
      <c r="CO15" s="267">
        <f t="shared" si="11"/>
        <v>2027</v>
      </c>
      <c r="CP15" s="267">
        <f t="shared" si="11"/>
        <v>2027</v>
      </c>
      <c r="CQ15" s="267">
        <f t="shared" si="11"/>
        <v>2027</v>
      </c>
      <c r="CR15" s="267">
        <f t="shared" si="11"/>
        <v>2027</v>
      </c>
      <c r="CS15" s="267">
        <f t="shared" si="11"/>
        <v>2027</v>
      </c>
      <c r="CT15" s="267">
        <f t="shared" si="11"/>
        <v>2027</v>
      </c>
      <c r="CU15" s="267">
        <f t="shared" si="11"/>
        <v>2027</v>
      </c>
      <c r="CV15" s="267">
        <f>CU15+1</f>
        <v>2028</v>
      </c>
      <c r="CW15" s="267">
        <f t="shared" ref="CW15:DG15" si="12">CV15</f>
        <v>2028</v>
      </c>
      <c r="CX15" s="267">
        <f t="shared" si="12"/>
        <v>2028</v>
      </c>
      <c r="CY15" s="267">
        <f t="shared" si="12"/>
        <v>2028</v>
      </c>
      <c r="CZ15" s="267">
        <f t="shared" si="12"/>
        <v>2028</v>
      </c>
      <c r="DA15" s="267">
        <f t="shared" si="12"/>
        <v>2028</v>
      </c>
      <c r="DB15" s="267">
        <f t="shared" si="12"/>
        <v>2028</v>
      </c>
      <c r="DC15" s="267">
        <f t="shared" si="12"/>
        <v>2028</v>
      </c>
      <c r="DD15" s="267">
        <f t="shared" si="12"/>
        <v>2028</v>
      </c>
      <c r="DE15" s="267">
        <f t="shared" si="12"/>
        <v>2028</v>
      </c>
      <c r="DF15" s="267">
        <f t="shared" si="12"/>
        <v>2028</v>
      </c>
      <c r="DG15" s="267">
        <f t="shared" si="12"/>
        <v>2028</v>
      </c>
      <c r="DH15" s="267">
        <f>DG15+1</f>
        <v>2029</v>
      </c>
      <c r="DI15" s="267">
        <f t="shared" ref="DI15:DS15" si="13">DH15</f>
        <v>2029</v>
      </c>
      <c r="DJ15" s="267">
        <f t="shared" si="13"/>
        <v>2029</v>
      </c>
      <c r="DK15" s="267">
        <f t="shared" si="13"/>
        <v>2029</v>
      </c>
      <c r="DL15" s="267">
        <f t="shared" si="13"/>
        <v>2029</v>
      </c>
      <c r="DM15" s="267">
        <f t="shared" si="13"/>
        <v>2029</v>
      </c>
      <c r="DN15" s="267">
        <f t="shared" si="13"/>
        <v>2029</v>
      </c>
      <c r="DO15" s="267">
        <f t="shared" si="13"/>
        <v>2029</v>
      </c>
      <c r="DP15" s="267">
        <f t="shared" si="13"/>
        <v>2029</v>
      </c>
      <c r="DQ15" s="267">
        <f t="shared" si="13"/>
        <v>2029</v>
      </c>
      <c r="DR15" s="267">
        <f t="shared" si="13"/>
        <v>2029</v>
      </c>
      <c r="DS15" s="267">
        <f t="shared" si="13"/>
        <v>2029</v>
      </c>
      <c r="DT15" s="267">
        <f>DS15+1</f>
        <v>2030</v>
      </c>
      <c r="DU15" s="267">
        <f t="shared" ref="DU15:EE15" si="14">DT15</f>
        <v>2030</v>
      </c>
      <c r="DV15" s="267">
        <f t="shared" si="14"/>
        <v>2030</v>
      </c>
      <c r="DW15" s="267">
        <f t="shared" si="14"/>
        <v>2030</v>
      </c>
      <c r="DX15" s="267">
        <f t="shared" si="14"/>
        <v>2030</v>
      </c>
      <c r="DY15" s="267">
        <f t="shared" si="14"/>
        <v>2030</v>
      </c>
      <c r="DZ15" s="267">
        <f t="shared" si="14"/>
        <v>2030</v>
      </c>
      <c r="EA15" s="267">
        <f t="shared" si="14"/>
        <v>2030</v>
      </c>
      <c r="EB15" s="267">
        <f t="shared" si="14"/>
        <v>2030</v>
      </c>
      <c r="EC15" s="267">
        <f t="shared" si="14"/>
        <v>2030</v>
      </c>
      <c r="ED15" s="267">
        <f t="shared" si="14"/>
        <v>2030</v>
      </c>
      <c r="EE15" s="267">
        <f t="shared" si="14"/>
        <v>2030</v>
      </c>
      <c r="EF15" s="267">
        <f>EE15+1</f>
        <v>2031</v>
      </c>
      <c r="EG15" s="267">
        <f t="shared" ref="EG15:EQ15" si="15">EF15</f>
        <v>2031</v>
      </c>
      <c r="EH15" s="267">
        <f t="shared" si="15"/>
        <v>2031</v>
      </c>
      <c r="EI15" s="267">
        <f t="shared" si="15"/>
        <v>2031</v>
      </c>
      <c r="EJ15" s="267">
        <f t="shared" si="15"/>
        <v>2031</v>
      </c>
      <c r="EK15" s="267">
        <f t="shared" si="15"/>
        <v>2031</v>
      </c>
      <c r="EL15" s="267">
        <f t="shared" si="15"/>
        <v>2031</v>
      </c>
      <c r="EM15" s="267">
        <f t="shared" si="15"/>
        <v>2031</v>
      </c>
      <c r="EN15" s="267">
        <f t="shared" si="15"/>
        <v>2031</v>
      </c>
      <c r="EO15" s="267">
        <f t="shared" si="15"/>
        <v>2031</v>
      </c>
      <c r="EP15" s="267">
        <f t="shared" si="15"/>
        <v>2031</v>
      </c>
      <c r="EQ15" s="268">
        <f t="shared" si="15"/>
        <v>2031</v>
      </c>
    </row>
    <row r="16" spans="1:147" ht="15.75" x14ac:dyDescent="0.25">
      <c r="A16" s="381"/>
      <c r="B16" s="387"/>
      <c r="C16" s="384"/>
      <c r="D16" s="269">
        <f>DATE(D15,1,1)</f>
        <v>43831</v>
      </c>
      <c r="E16" s="270">
        <f>DATE(E15,2,1)</f>
        <v>43862</v>
      </c>
      <c r="F16" s="270">
        <f>DATE(F15,3,1)</f>
        <v>43891</v>
      </c>
      <c r="G16" s="270">
        <f>DATE(G15,4,1)</f>
        <v>43922</v>
      </c>
      <c r="H16" s="270">
        <f>DATE(H15,5,1)</f>
        <v>43952</v>
      </c>
      <c r="I16" s="270">
        <f>DATE(I15,6,1)</f>
        <v>43983</v>
      </c>
      <c r="J16" s="270">
        <f>DATE(J15,7,1)</f>
        <v>44013</v>
      </c>
      <c r="K16" s="270">
        <f>DATE(K15,8,1)</f>
        <v>44044</v>
      </c>
      <c r="L16" s="270">
        <f>DATE(L15,9,1)</f>
        <v>44075</v>
      </c>
      <c r="M16" s="270">
        <f>DATE(M15,10,1)</f>
        <v>44105</v>
      </c>
      <c r="N16" s="270">
        <f>DATE(N15,11,1)</f>
        <v>44136</v>
      </c>
      <c r="O16" s="270">
        <f>DATE(O15,12,1)</f>
        <v>44166</v>
      </c>
      <c r="P16" s="270">
        <f>DATE(P15,1,1)</f>
        <v>44197</v>
      </c>
      <c r="Q16" s="270">
        <f>DATE(Q15,2,1)</f>
        <v>44228</v>
      </c>
      <c r="R16" s="270">
        <f>DATE(R15,3,1)</f>
        <v>44256</v>
      </c>
      <c r="S16" s="270">
        <f>DATE(S15,4,1)</f>
        <v>44287</v>
      </c>
      <c r="T16" s="270">
        <f>DATE(T15,5,1)</f>
        <v>44317</v>
      </c>
      <c r="U16" s="270">
        <f>DATE(U15,6,1)</f>
        <v>44348</v>
      </c>
      <c r="V16" s="270">
        <f>DATE(V15,7,1)</f>
        <v>44378</v>
      </c>
      <c r="W16" s="270">
        <f>DATE(W15,8,1)</f>
        <v>44409</v>
      </c>
      <c r="X16" s="270">
        <f>DATE(X15,9,1)</f>
        <v>44440</v>
      </c>
      <c r="Y16" s="270">
        <f>DATE(Y15,10,1)</f>
        <v>44470</v>
      </c>
      <c r="Z16" s="270">
        <f>DATE(Z15,11,1)</f>
        <v>44501</v>
      </c>
      <c r="AA16" s="270">
        <f>DATE(AA15,12,1)</f>
        <v>44531</v>
      </c>
      <c r="AB16" s="270">
        <f>DATE(AB15,1,1)</f>
        <v>44562</v>
      </c>
      <c r="AC16" s="270">
        <f>DATE(AC15,2,1)</f>
        <v>44593</v>
      </c>
      <c r="AD16" s="270">
        <f>DATE(AD15,3,1)</f>
        <v>44621</v>
      </c>
      <c r="AE16" s="270">
        <f>DATE(AE15,4,1)</f>
        <v>44652</v>
      </c>
      <c r="AF16" s="270">
        <f>DATE(AF15,5,1)</f>
        <v>44682</v>
      </c>
      <c r="AG16" s="270">
        <f>DATE(AG15,6,1)</f>
        <v>44713</v>
      </c>
      <c r="AH16" s="270">
        <f>DATE(AH15,7,1)</f>
        <v>44743</v>
      </c>
      <c r="AI16" s="270">
        <f>DATE(AI15,8,1)</f>
        <v>44774</v>
      </c>
      <c r="AJ16" s="270">
        <f>DATE(AJ15,9,1)</f>
        <v>44805</v>
      </c>
      <c r="AK16" s="270">
        <f>DATE(AK15,10,1)</f>
        <v>44835</v>
      </c>
      <c r="AL16" s="270">
        <f>DATE(AL15,11,1)</f>
        <v>44866</v>
      </c>
      <c r="AM16" s="270">
        <f>DATE(AM15,12,1)</f>
        <v>44896</v>
      </c>
      <c r="AN16" s="270">
        <f>DATE(AN15,1,1)</f>
        <v>44927</v>
      </c>
      <c r="AO16" s="270">
        <f>DATE(AO15,2,1)</f>
        <v>44958</v>
      </c>
      <c r="AP16" s="270">
        <f>DATE(AP15,3,1)</f>
        <v>44986</v>
      </c>
      <c r="AQ16" s="270">
        <f>DATE(AQ15,4,1)</f>
        <v>45017</v>
      </c>
      <c r="AR16" s="270">
        <f>DATE(AR15,5,1)</f>
        <v>45047</v>
      </c>
      <c r="AS16" s="270">
        <f>DATE(AS15,6,1)</f>
        <v>45078</v>
      </c>
      <c r="AT16" s="270">
        <f>DATE(AT15,7,1)</f>
        <v>45108</v>
      </c>
      <c r="AU16" s="270">
        <f>DATE(AU15,8,1)</f>
        <v>45139</v>
      </c>
      <c r="AV16" s="270">
        <f>DATE(AV15,9,1)</f>
        <v>45170</v>
      </c>
      <c r="AW16" s="270">
        <f>DATE(AW15,10,1)</f>
        <v>45200</v>
      </c>
      <c r="AX16" s="270">
        <f>DATE(AX15,11,1)</f>
        <v>45231</v>
      </c>
      <c r="AY16" s="270">
        <f>DATE(AY15,12,1)</f>
        <v>45261</v>
      </c>
      <c r="AZ16" s="270">
        <f>DATE(AZ15,1,1)</f>
        <v>45292</v>
      </c>
      <c r="BA16" s="270">
        <f>DATE(BA15,2,1)</f>
        <v>45323</v>
      </c>
      <c r="BB16" s="270">
        <f>DATE(BB15,3,1)</f>
        <v>45352</v>
      </c>
      <c r="BC16" s="270">
        <f>DATE(BC15,4,1)</f>
        <v>45383</v>
      </c>
      <c r="BD16" s="270">
        <f>DATE(BD15,5,1)</f>
        <v>45413</v>
      </c>
      <c r="BE16" s="270">
        <f>DATE(BE15,6,1)</f>
        <v>45444</v>
      </c>
      <c r="BF16" s="270">
        <f>DATE(BF15,7,1)</f>
        <v>45474</v>
      </c>
      <c r="BG16" s="270">
        <f>DATE(BG15,8,1)</f>
        <v>45505</v>
      </c>
      <c r="BH16" s="270">
        <f>DATE(BH15,9,1)</f>
        <v>45536</v>
      </c>
      <c r="BI16" s="270">
        <f>DATE(BI15,10,1)</f>
        <v>45566</v>
      </c>
      <c r="BJ16" s="270">
        <f>DATE(BJ15,11,1)</f>
        <v>45597</v>
      </c>
      <c r="BK16" s="270">
        <f>DATE(BK15,12,1)</f>
        <v>45627</v>
      </c>
      <c r="BL16" s="270">
        <f>DATE(BL15,1,1)</f>
        <v>45658</v>
      </c>
      <c r="BM16" s="270">
        <f>DATE(BM15,2,1)</f>
        <v>45689</v>
      </c>
      <c r="BN16" s="270">
        <f>DATE(BN15,3,1)</f>
        <v>45717</v>
      </c>
      <c r="BO16" s="270">
        <f>DATE(BO15,4,1)</f>
        <v>45748</v>
      </c>
      <c r="BP16" s="270">
        <f>DATE(BP15,5,1)</f>
        <v>45778</v>
      </c>
      <c r="BQ16" s="270">
        <f>DATE(BQ15,6,1)</f>
        <v>45809</v>
      </c>
      <c r="BR16" s="270">
        <f>DATE(BR15,7,1)</f>
        <v>45839</v>
      </c>
      <c r="BS16" s="270">
        <f>DATE(BS15,8,1)</f>
        <v>45870</v>
      </c>
      <c r="BT16" s="270">
        <f>DATE(BT15,9,1)</f>
        <v>45901</v>
      </c>
      <c r="BU16" s="270">
        <f>DATE(BU15,10,1)</f>
        <v>45931</v>
      </c>
      <c r="BV16" s="270">
        <f>DATE(BV15,11,1)</f>
        <v>45962</v>
      </c>
      <c r="BW16" s="270">
        <f>DATE(BW15,12,1)</f>
        <v>45992</v>
      </c>
      <c r="BX16" s="270">
        <f>DATE(BX15,1,1)</f>
        <v>46023</v>
      </c>
      <c r="BY16" s="270">
        <f>DATE(BY15,2,1)</f>
        <v>46054</v>
      </c>
      <c r="BZ16" s="270">
        <f>DATE(BZ15,3,1)</f>
        <v>46082</v>
      </c>
      <c r="CA16" s="270">
        <f>DATE(CA15,4,1)</f>
        <v>46113</v>
      </c>
      <c r="CB16" s="270">
        <f>DATE(CB15,5,1)</f>
        <v>46143</v>
      </c>
      <c r="CC16" s="270">
        <f>DATE(CC15,6,1)</f>
        <v>46174</v>
      </c>
      <c r="CD16" s="270">
        <f>DATE(CD15,7,1)</f>
        <v>46204</v>
      </c>
      <c r="CE16" s="270">
        <f>DATE(CE15,8,1)</f>
        <v>46235</v>
      </c>
      <c r="CF16" s="270">
        <f>DATE(CF15,9,1)</f>
        <v>46266</v>
      </c>
      <c r="CG16" s="270">
        <f>DATE(CG15,10,1)</f>
        <v>46296</v>
      </c>
      <c r="CH16" s="270">
        <f>DATE(CH15,11,1)</f>
        <v>46327</v>
      </c>
      <c r="CI16" s="270">
        <f>DATE(CI15,12,1)</f>
        <v>46357</v>
      </c>
      <c r="CJ16" s="270">
        <f>DATE(CJ15,1,1)</f>
        <v>46388</v>
      </c>
      <c r="CK16" s="270">
        <f>DATE(CK15,2,1)</f>
        <v>46419</v>
      </c>
      <c r="CL16" s="270">
        <f>DATE(CL15,3,1)</f>
        <v>46447</v>
      </c>
      <c r="CM16" s="270">
        <f>DATE(CM15,4,1)</f>
        <v>46478</v>
      </c>
      <c r="CN16" s="270">
        <f>DATE(CN15,5,1)</f>
        <v>46508</v>
      </c>
      <c r="CO16" s="270">
        <f>DATE(CO15,6,1)</f>
        <v>46539</v>
      </c>
      <c r="CP16" s="270">
        <f>DATE(CP15,7,1)</f>
        <v>46569</v>
      </c>
      <c r="CQ16" s="270">
        <f>DATE(CQ15,8,1)</f>
        <v>46600</v>
      </c>
      <c r="CR16" s="270">
        <f>DATE(CR15,9,1)</f>
        <v>46631</v>
      </c>
      <c r="CS16" s="270">
        <f>DATE(CS15,10,1)</f>
        <v>46661</v>
      </c>
      <c r="CT16" s="270">
        <f>DATE(CT15,11,1)</f>
        <v>46692</v>
      </c>
      <c r="CU16" s="270">
        <f>DATE(CU15,12,1)</f>
        <v>46722</v>
      </c>
      <c r="CV16" s="270">
        <f>DATE(CV15,1,1)</f>
        <v>46753</v>
      </c>
      <c r="CW16" s="270">
        <f>DATE(CW15,2,1)</f>
        <v>46784</v>
      </c>
      <c r="CX16" s="270">
        <f>DATE(CX15,3,1)</f>
        <v>46813</v>
      </c>
      <c r="CY16" s="270">
        <f>DATE(CY15,4,1)</f>
        <v>46844</v>
      </c>
      <c r="CZ16" s="270">
        <f>DATE(CZ15,5,1)</f>
        <v>46874</v>
      </c>
      <c r="DA16" s="270">
        <f>DATE(DA15,6,1)</f>
        <v>46905</v>
      </c>
      <c r="DB16" s="270">
        <f>DATE(DB15,7,1)</f>
        <v>46935</v>
      </c>
      <c r="DC16" s="270">
        <f>DATE(DC15,8,1)</f>
        <v>46966</v>
      </c>
      <c r="DD16" s="270">
        <f>DATE(DD15,9,1)</f>
        <v>46997</v>
      </c>
      <c r="DE16" s="270">
        <f>DATE(DE15,10,1)</f>
        <v>47027</v>
      </c>
      <c r="DF16" s="270">
        <f>DATE(DF15,11,1)</f>
        <v>47058</v>
      </c>
      <c r="DG16" s="270">
        <f>DATE(DG15,12,1)</f>
        <v>47088</v>
      </c>
      <c r="DH16" s="270">
        <f>DATE(DH15,1,1)</f>
        <v>47119</v>
      </c>
      <c r="DI16" s="270">
        <f>DATE(DI15,2,1)</f>
        <v>47150</v>
      </c>
      <c r="DJ16" s="270">
        <f>DATE(DJ15,3,1)</f>
        <v>47178</v>
      </c>
      <c r="DK16" s="270">
        <f>DATE(DK15,4,1)</f>
        <v>47209</v>
      </c>
      <c r="DL16" s="270">
        <f>DATE(DL15,5,1)</f>
        <v>47239</v>
      </c>
      <c r="DM16" s="270">
        <f>DATE(DM15,6,1)</f>
        <v>47270</v>
      </c>
      <c r="DN16" s="270">
        <f>DATE(DN15,7,1)</f>
        <v>47300</v>
      </c>
      <c r="DO16" s="270">
        <f>DATE(DO15,8,1)</f>
        <v>47331</v>
      </c>
      <c r="DP16" s="270">
        <f>DATE(DP15,9,1)</f>
        <v>47362</v>
      </c>
      <c r="DQ16" s="270">
        <f>DATE(DQ15,10,1)</f>
        <v>47392</v>
      </c>
      <c r="DR16" s="270">
        <f>DATE(DR15,11,1)</f>
        <v>47423</v>
      </c>
      <c r="DS16" s="270">
        <f>DATE(DS15,12,1)</f>
        <v>47453</v>
      </c>
      <c r="DT16" s="270">
        <f>DATE(DT15,1,1)</f>
        <v>47484</v>
      </c>
      <c r="DU16" s="270">
        <f>DATE(DU15,2,1)</f>
        <v>47515</v>
      </c>
      <c r="DV16" s="270">
        <f>DATE(DV15,3,1)</f>
        <v>47543</v>
      </c>
      <c r="DW16" s="270">
        <f>DATE(DW15,4,1)</f>
        <v>47574</v>
      </c>
      <c r="DX16" s="270">
        <f>DATE(DX15,5,1)</f>
        <v>47604</v>
      </c>
      <c r="DY16" s="270">
        <f>DATE(DY15,6,1)</f>
        <v>47635</v>
      </c>
      <c r="DZ16" s="270">
        <f>DATE(DZ15,7,1)</f>
        <v>47665</v>
      </c>
      <c r="EA16" s="270">
        <f>DATE(EA15,8,1)</f>
        <v>47696</v>
      </c>
      <c r="EB16" s="270">
        <f>DATE(EB15,9,1)</f>
        <v>47727</v>
      </c>
      <c r="EC16" s="270">
        <f>DATE(EC15,10,1)</f>
        <v>47757</v>
      </c>
      <c r="ED16" s="270">
        <f>DATE(ED15,11,1)</f>
        <v>47788</v>
      </c>
      <c r="EE16" s="270">
        <f>DATE(EE15,12,1)</f>
        <v>47818</v>
      </c>
      <c r="EF16" s="270">
        <f>DATE(EF15,1,1)</f>
        <v>47849</v>
      </c>
      <c r="EG16" s="270">
        <f>DATE(EG15,2,1)</f>
        <v>47880</v>
      </c>
      <c r="EH16" s="270">
        <f>DATE(EH15,3,1)</f>
        <v>47908</v>
      </c>
      <c r="EI16" s="270">
        <f>DATE(EI15,4,1)</f>
        <v>47939</v>
      </c>
      <c r="EJ16" s="270">
        <f>DATE(EJ15,5,1)</f>
        <v>47969</v>
      </c>
      <c r="EK16" s="270">
        <f>DATE(EK15,6,1)</f>
        <v>48000</v>
      </c>
      <c r="EL16" s="270">
        <f>DATE(EL15,7,1)</f>
        <v>48030</v>
      </c>
      <c r="EM16" s="270">
        <f>DATE(EM15,8,1)</f>
        <v>48061</v>
      </c>
      <c r="EN16" s="270">
        <f>DATE(EN15,9,1)</f>
        <v>48092</v>
      </c>
      <c r="EO16" s="270">
        <f>DATE(EO15,10,1)</f>
        <v>48122</v>
      </c>
      <c r="EP16" s="270">
        <f>DATE(EP15,11,1)</f>
        <v>48153</v>
      </c>
      <c r="EQ16" s="271">
        <f>DATE(EQ15,12,1)</f>
        <v>48183</v>
      </c>
    </row>
    <row r="17" spans="1:147" ht="15.75" x14ac:dyDescent="0.25">
      <c r="A17" s="382"/>
      <c r="B17" s="388"/>
      <c r="C17" s="385"/>
      <c r="D17" s="272">
        <f>DATE(D15,1,31)</f>
        <v>43861</v>
      </c>
      <c r="E17" s="272">
        <f>DATE(E15,2,29)</f>
        <v>43890</v>
      </c>
      <c r="F17" s="272">
        <f>DATE(F15,3,31)</f>
        <v>43921</v>
      </c>
      <c r="G17" s="272">
        <f>DATE(G15,4,30)</f>
        <v>43951</v>
      </c>
      <c r="H17" s="272">
        <f>DATE(H15,5,31)</f>
        <v>43982</v>
      </c>
      <c r="I17" s="272">
        <f>DATE(I15,6,30)</f>
        <v>44012</v>
      </c>
      <c r="J17" s="272">
        <f>DATE(J15,7,31)</f>
        <v>44043</v>
      </c>
      <c r="K17" s="272">
        <f>DATE(K15,8,31)</f>
        <v>44074</v>
      </c>
      <c r="L17" s="272">
        <f>DATE(L15,9,30)</f>
        <v>44104</v>
      </c>
      <c r="M17" s="272">
        <f>DATE(M15,10,31)</f>
        <v>44135</v>
      </c>
      <c r="N17" s="272">
        <f>DATE(N15,11,30)</f>
        <v>44165</v>
      </c>
      <c r="O17" s="272">
        <f>DATE(O15,12,31)</f>
        <v>44196</v>
      </c>
      <c r="P17" s="272">
        <f>DATE(P15,1,31)</f>
        <v>44227</v>
      </c>
      <c r="Q17" s="272">
        <f>DATE(Q15,2,28)</f>
        <v>44255</v>
      </c>
      <c r="R17" s="272">
        <f>DATE(R15,3,31)</f>
        <v>44286</v>
      </c>
      <c r="S17" s="272">
        <f>DATE(S15,4,30)</f>
        <v>44316</v>
      </c>
      <c r="T17" s="272">
        <f>DATE(T15,5,31)</f>
        <v>44347</v>
      </c>
      <c r="U17" s="272">
        <f>DATE(U15,6,30)</f>
        <v>44377</v>
      </c>
      <c r="V17" s="272">
        <f>DATE(V15,7,31)</f>
        <v>44408</v>
      </c>
      <c r="W17" s="272">
        <f>DATE(W15,8,31)</f>
        <v>44439</v>
      </c>
      <c r="X17" s="272">
        <f>DATE(X15,9,30)</f>
        <v>44469</v>
      </c>
      <c r="Y17" s="272">
        <f>DATE(Y15,10,31)</f>
        <v>44500</v>
      </c>
      <c r="Z17" s="272">
        <f>DATE(Z15,11,30)</f>
        <v>44530</v>
      </c>
      <c r="AA17" s="272">
        <f>DATE(AA15,12,31)</f>
        <v>44561</v>
      </c>
      <c r="AB17" s="272">
        <f>DATE(AB15,1,31)</f>
        <v>44592</v>
      </c>
      <c r="AC17" s="272">
        <f>DATE(AC15,2,28)</f>
        <v>44620</v>
      </c>
      <c r="AD17" s="272">
        <f>DATE(AD15,3,31)</f>
        <v>44651</v>
      </c>
      <c r="AE17" s="272">
        <f>DATE(AE15,4,30)</f>
        <v>44681</v>
      </c>
      <c r="AF17" s="272">
        <f>DATE(AF15,5,31)</f>
        <v>44712</v>
      </c>
      <c r="AG17" s="272">
        <f>DATE(AG15,6,30)</f>
        <v>44742</v>
      </c>
      <c r="AH17" s="272">
        <f>DATE(AH15,7,31)</f>
        <v>44773</v>
      </c>
      <c r="AI17" s="272">
        <f>DATE(AI15,8,31)</f>
        <v>44804</v>
      </c>
      <c r="AJ17" s="272">
        <f>DATE(AJ15,9,30)</f>
        <v>44834</v>
      </c>
      <c r="AK17" s="272">
        <f>DATE(AK15,10,31)</f>
        <v>44865</v>
      </c>
      <c r="AL17" s="272">
        <f>DATE(AL15,11,30)</f>
        <v>44895</v>
      </c>
      <c r="AM17" s="272">
        <f>DATE(AM15,12,31)</f>
        <v>44926</v>
      </c>
      <c r="AN17" s="272">
        <f>DATE(AN15,1,31)</f>
        <v>44957</v>
      </c>
      <c r="AO17" s="272">
        <f>DATE(AO15,2,28)</f>
        <v>44985</v>
      </c>
      <c r="AP17" s="272">
        <f>DATE(AP15,3,31)</f>
        <v>45016</v>
      </c>
      <c r="AQ17" s="272">
        <f>DATE(AQ15,4,30)</f>
        <v>45046</v>
      </c>
      <c r="AR17" s="272">
        <f>DATE(AR15,5,31)</f>
        <v>45077</v>
      </c>
      <c r="AS17" s="272">
        <f>DATE(AS15,6,30)</f>
        <v>45107</v>
      </c>
      <c r="AT17" s="272">
        <f>DATE(AT15,7,31)</f>
        <v>45138</v>
      </c>
      <c r="AU17" s="272">
        <f>DATE(AU15,8,31)</f>
        <v>45169</v>
      </c>
      <c r="AV17" s="272">
        <f>DATE(AV15,9,30)</f>
        <v>45199</v>
      </c>
      <c r="AW17" s="272">
        <f>DATE(AW15,10,31)</f>
        <v>45230</v>
      </c>
      <c r="AX17" s="272">
        <f>DATE(AX15,11,30)</f>
        <v>45260</v>
      </c>
      <c r="AY17" s="272">
        <f>DATE(AY15,12,31)</f>
        <v>45291</v>
      </c>
      <c r="AZ17" s="272">
        <f>DATE(AZ15,1,31)</f>
        <v>45322</v>
      </c>
      <c r="BA17" s="272">
        <f>DATE(BA15,2,29)</f>
        <v>45351</v>
      </c>
      <c r="BB17" s="272">
        <f>DATE(BB15,3,31)</f>
        <v>45382</v>
      </c>
      <c r="BC17" s="272">
        <f>DATE(BC15,4,30)</f>
        <v>45412</v>
      </c>
      <c r="BD17" s="272">
        <f>DATE(BD15,5,31)</f>
        <v>45443</v>
      </c>
      <c r="BE17" s="272">
        <f>DATE(BE15,6,30)</f>
        <v>45473</v>
      </c>
      <c r="BF17" s="272">
        <f>DATE(BF15,7,31)</f>
        <v>45504</v>
      </c>
      <c r="BG17" s="272">
        <f>DATE(BG15,8,31)</f>
        <v>45535</v>
      </c>
      <c r="BH17" s="272">
        <f>DATE(BH15,9,30)</f>
        <v>45565</v>
      </c>
      <c r="BI17" s="272">
        <f>DATE(BI15,10,31)</f>
        <v>45596</v>
      </c>
      <c r="BJ17" s="272">
        <f>DATE(BJ15,11,30)</f>
        <v>45626</v>
      </c>
      <c r="BK17" s="272">
        <f>DATE(BK15,12,31)</f>
        <v>45657</v>
      </c>
      <c r="BL17" s="272">
        <f>DATE(BL15,1,31)</f>
        <v>45688</v>
      </c>
      <c r="BM17" s="272">
        <f>DATE(BM15,2,28)</f>
        <v>45716</v>
      </c>
      <c r="BN17" s="272">
        <f>DATE(BN15,3,31)</f>
        <v>45747</v>
      </c>
      <c r="BO17" s="272">
        <f>DATE(BO15,4,30)</f>
        <v>45777</v>
      </c>
      <c r="BP17" s="272">
        <f>DATE(BP15,5,31)</f>
        <v>45808</v>
      </c>
      <c r="BQ17" s="272">
        <f>DATE(BQ15,6,30)</f>
        <v>45838</v>
      </c>
      <c r="BR17" s="272">
        <f>DATE(BR15,7,31)</f>
        <v>45869</v>
      </c>
      <c r="BS17" s="272">
        <f>DATE(BS15,8,31)</f>
        <v>45900</v>
      </c>
      <c r="BT17" s="272">
        <f>DATE(BT15,9,30)</f>
        <v>45930</v>
      </c>
      <c r="BU17" s="272">
        <f>DATE(BU15,10,31)</f>
        <v>45961</v>
      </c>
      <c r="BV17" s="272">
        <f>DATE(BV15,11,30)</f>
        <v>45991</v>
      </c>
      <c r="BW17" s="272">
        <f>DATE(BW15,12,31)</f>
        <v>46022</v>
      </c>
      <c r="BX17" s="272">
        <f>DATE(BX15,1,31)</f>
        <v>46053</v>
      </c>
      <c r="BY17" s="272">
        <f>DATE(BY15,2,28)</f>
        <v>46081</v>
      </c>
      <c r="BZ17" s="272">
        <f>DATE(BZ15,3,31)</f>
        <v>46112</v>
      </c>
      <c r="CA17" s="272">
        <f>DATE(CA15,4,30)</f>
        <v>46142</v>
      </c>
      <c r="CB17" s="272">
        <f>DATE(CB15,5,31)</f>
        <v>46173</v>
      </c>
      <c r="CC17" s="272">
        <f>DATE(CC15,6,30)</f>
        <v>46203</v>
      </c>
      <c r="CD17" s="272">
        <f>DATE(CD15,7,31)</f>
        <v>46234</v>
      </c>
      <c r="CE17" s="272">
        <f>DATE(CE15,8,31)</f>
        <v>46265</v>
      </c>
      <c r="CF17" s="272">
        <f>DATE(CF15,9,30)</f>
        <v>46295</v>
      </c>
      <c r="CG17" s="272">
        <f>DATE(CG15,10,31)</f>
        <v>46326</v>
      </c>
      <c r="CH17" s="272">
        <f>DATE(CH15,11,30)</f>
        <v>46356</v>
      </c>
      <c r="CI17" s="272">
        <f>DATE(CI15,12,31)</f>
        <v>46387</v>
      </c>
      <c r="CJ17" s="272">
        <f>DATE(CJ15,1,31)</f>
        <v>46418</v>
      </c>
      <c r="CK17" s="272">
        <f>DATE(CK15,2,28)</f>
        <v>46446</v>
      </c>
      <c r="CL17" s="272">
        <f>DATE(CL15,3,31)</f>
        <v>46477</v>
      </c>
      <c r="CM17" s="272">
        <f>DATE(CM15,4,30)</f>
        <v>46507</v>
      </c>
      <c r="CN17" s="272">
        <f>DATE(CN15,5,31)</f>
        <v>46538</v>
      </c>
      <c r="CO17" s="272">
        <f>DATE(CO15,6,30)</f>
        <v>46568</v>
      </c>
      <c r="CP17" s="272">
        <f>DATE(CP15,7,31)</f>
        <v>46599</v>
      </c>
      <c r="CQ17" s="272">
        <f>DATE(CQ15,8,31)</f>
        <v>46630</v>
      </c>
      <c r="CR17" s="272">
        <f>DATE(CR15,9,30)</f>
        <v>46660</v>
      </c>
      <c r="CS17" s="272">
        <f>DATE(CS15,10,31)</f>
        <v>46691</v>
      </c>
      <c r="CT17" s="272">
        <f>DATE(CT15,11,30)</f>
        <v>46721</v>
      </c>
      <c r="CU17" s="272">
        <f>DATE(CU15,12,31)</f>
        <v>46752</v>
      </c>
      <c r="CV17" s="272">
        <f>DATE(CV15,1,31)</f>
        <v>46783</v>
      </c>
      <c r="CW17" s="272">
        <f>DATE(CW15,2,29)</f>
        <v>46812</v>
      </c>
      <c r="CX17" s="272">
        <f>DATE(CX15,3,31)</f>
        <v>46843</v>
      </c>
      <c r="CY17" s="272">
        <f>DATE(CY15,4,30)</f>
        <v>46873</v>
      </c>
      <c r="CZ17" s="272">
        <f>DATE(CZ15,5,31)</f>
        <v>46904</v>
      </c>
      <c r="DA17" s="272">
        <f>DATE(DA15,6,30)</f>
        <v>46934</v>
      </c>
      <c r="DB17" s="272">
        <f>DATE(DB15,7,31)</f>
        <v>46965</v>
      </c>
      <c r="DC17" s="272">
        <f>DATE(DC15,8,31)</f>
        <v>46996</v>
      </c>
      <c r="DD17" s="272">
        <f>DATE(DD15,9,30)</f>
        <v>47026</v>
      </c>
      <c r="DE17" s="272">
        <f>DATE(DE15,10,31)</f>
        <v>47057</v>
      </c>
      <c r="DF17" s="272">
        <f>DATE(DF15,11,30)</f>
        <v>47087</v>
      </c>
      <c r="DG17" s="272">
        <f>DATE(DG15,12,31)</f>
        <v>47118</v>
      </c>
      <c r="DH17" s="272">
        <f>DATE(DH15,1,31)</f>
        <v>47149</v>
      </c>
      <c r="DI17" s="272">
        <f>DATE(DI15,2,28)</f>
        <v>47177</v>
      </c>
      <c r="DJ17" s="272">
        <f>DATE(DJ15,3,31)</f>
        <v>47208</v>
      </c>
      <c r="DK17" s="272">
        <f>DATE(DK15,4,30)</f>
        <v>47238</v>
      </c>
      <c r="DL17" s="272">
        <f>DATE(DL15,5,31)</f>
        <v>47269</v>
      </c>
      <c r="DM17" s="272">
        <f>DATE(DM15,6,30)</f>
        <v>47299</v>
      </c>
      <c r="DN17" s="272">
        <f>DATE(DN15,7,31)</f>
        <v>47330</v>
      </c>
      <c r="DO17" s="272">
        <f>DATE(DO15,8,31)</f>
        <v>47361</v>
      </c>
      <c r="DP17" s="272">
        <f>DATE(DP15,9,30)</f>
        <v>47391</v>
      </c>
      <c r="DQ17" s="272">
        <f>DATE(DQ15,10,31)</f>
        <v>47422</v>
      </c>
      <c r="DR17" s="272">
        <f>DATE(DR15,11,30)</f>
        <v>47452</v>
      </c>
      <c r="DS17" s="272">
        <f>DATE(DS15,12,31)</f>
        <v>47483</v>
      </c>
      <c r="DT17" s="272">
        <f>DATE(DT15,1,31)</f>
        <v>47514</v>
      </c>
      <c r="DU17" s="272">
        <f>DATE(DU15,2,28)</f>
        <v>47542</v>
      </c>
      <c r="DV17" s="272">
        <f>DATE(DV15,3,31)</f>
        <v>47573</v>
      </c>
      <c r="DW17" s="272">
        <f>DATE(DW15,4,30)</f>
        <v>47603</v>
      </c>
      <c r="DX17" s="272">
        <f>DATE(DX15,5,31)</f>
        <v>47634</v>
      </c>
      <c r="DY17" s="272">
        <f>DATE(DY15,6,30)</f>
        <v>47664</v>
      </c>
      <c r="DZ17" s="272">
        <f>DATE(DZ15,7,31)</f>
        <v>47695</v>
      </c>
      <c r="EA17" s="272">
        <f>DATE(EA15,8,31)</f>
        <v>47726</v>
      </c>
      <c r="EB17" s="272">
        <f>DATE(EB15,9,30)</f>
        <v>47756</v>
      </c>
      <c r="EC17" s="272">
        <f>DATE(EC15,10,31)</f>
        <v>47787</v>
      </c>
      <c r="ED17" s="272">
        <f>DATE(ED15,11,30)</f>
        <v>47817</v>
      </c>
      <c r="EE17" s="272">
        <f>DATE(EE15,12,31)</f>
        <v>47848</v>
      </c>
      <c r="EF17" s="272">
        <f>DATE(EF15,1,31)</f>
        <v>47879</v>
      </c>
      <c r="EG17" s="272">
        <f>DATE(EG15,2,28)</f>
        <v>47907</v>
      </c>
      <c r="EH17" s="272">
        <f>DATE(EH15,3,31)</f>
        <v>47938</v>
      </c>
      <c r="EI17" s="272">
        <f>DATE(EI15,4,30)</f>
        <v>47968</v>
      </c>
      <c r="EJ17" s="272">
        <f>DATE(EJ15,5,31)</f>
        <v>47999</v>
      </c>
      <c r="EK17" s="272">
        <f>DATE(EK15,6,30)</f>
        <v>48029</v>
      </c>
      <c r="EL17" s="272">
        <f>DATE(EL15,7,31)</f>
        <v>48060</v>
      </c>
      <c r="EM17" s="272">
        <f>DATE(EM15,8,31)</f>
        <v>48091</v>
      </c>
      <c r="EN17" s="272">
        <f>DATE(EN15,9,30)</f>
        <v>48121</v>
      </c>
      <c r="EO17" s="272">
        <f>DATE(EO15,10,31)</f>
        <v>48152</v>
      </c>
      <c r="EP17" s="272">
        <f>DATE(EP15,11,30)</f>
        <v>48182</v>
      </c>
      <c r="EQ17" s="273">
        <f>DATE(EQ15,12,31)</f>
        <v>48213</v>
      </c>
    </row>
    <row r="18" spans="1:147" x14ac:dyDescent="0.25">
      <c r="A18" s="218" t="s">
        <v>353</v>
      </c>
      <c r="B18" s="219"/>
      <c r="C18" s="221">
        <f>SUM(D18:EQ18)</f>
        <v>14485280.240480017</v>
      </c>
      <c r="D18" s="221">
        <f>D43+D67+D91+D115+D139</f>
        <v>0</v>
      </c>
      <c r="E18" s="221">
        <f t="shared" ref="E18:BP21" si="16">E43+E67+E91+E115+E139</f>
        <v>0</v>
      </c>
      <c r="F18" s="221">
        <f t="shared" si="16"/>
        <v>0</v>
      </c>
      <c r="G18" s="221">
        <f t="shared" si="16"/>
        <v>0</v>
      </c>
      <c r="H18" s="221">
        <f t="shared" si="16"/>
        <v>0</v>
      </c>
      <c r="I18" s="221">
        <f t="shared" si="16"/>
        <v>0</v>
      </c>
      <c r="J18" s="221">
        <f t="shared" si="16"/>
        <v>0</v>
      </c>
      <c r="K18" s="221">
        <f t="shared" si="16"/>
        <v>0</v>
      </c>
      <c r="L18" s="221">
        <f t="shared" si="16"/>
        <v>0</v>
      </c>
      <c r="M18" s="221">
        <f t="shared" si="16"/>
        <v>83375.173043437491</v>
      </c>
      <c r="N18" s="221">
        <f t="shared" si="16"/>
        <v>0</v>
      </c>
      <c r="O18" s="221">
        <f t="shared" si="16"/>
        <v>0</v>
      </c>
      <c r="P18" s="221">
        <f t="shared" si="16"/>
        <v>0</v>
      </c>
      <c r="Q18" s="221">
        <f t="shared" si="16"/>
        <v>0</v>
      </c>
      <c r="R18" s="221">
        <f t="shared" si="16"/>
        <v>0</v>
      </c>
      <c r="S18" s="221">
        <f t="shared" si="16"/>
        <v>87046.236180694395</v>
      </c>
      <c r="T18" s="221">
        <f t="shared" si="16"/>
        <v>0</v>
      </c>
      <c r="U18" s="221">
        <f t="shared" si="16"/>
        <v>0</v>
      </c>
      <c r="V18" s="221">
        <f t="shared" si="16"/>
        <v>0</v>
      </c>
      <c r="W18" s="221">
        <f t="shared" si="16"/>
        <v>0</v>
      </c>
      <c r="X18" s="221">
        <f t="shared" si="16"/>
        <v>0</v>
      </c>
      <c r="Y18" s="221">
        <f t="shared" si="16"/>
        <v>263268.5505875079</v>
      </c>
      <c r="Z18" s="221">
        <f t="shared" si="16"/>
        <v>0</v>
      </c>
      <c r="AA18" s="221">
        <f t="shared" si="16"/>
        <v>0</v>
      </c>
      <c r="AB18" s="221">
        <f t="shared" si="16"/>
        <v>0</v>
      </c>
      <c r="AC18" s="221">
        <f t="shared" si="16"/>
        <v>0</v>
      </c>
      <c r="AD18" s="221">
        <f t="shared" si="16"/>
        <v>0</v>
      </c>
      <c r="AE18" s="221">
        <f t="shared" si="16"/>
        <v>274860.43622902053</v>
      </c>
      <c r="AF18" s="221">
        <f t="shared" si="16"/>
        <v>0</v>
      </c>
      <c r="AG18" s="221">
        <f t="shared" si="16"/>
        <v>0</v>
      </c>
      <c r="AH18" s="221">
        <f t="shared" si="16"/>
        <v>0</v>
      </c>
      <c r="AI18" s="221">
        <f t="shared" si="16"/>
        <v>0</v>
      </c>
      <c r="AJ18" s="221">
        <f t="shared" si="16"/>
        <v>0</v>
      </c>
      <c r="AK18" s="221">
        <f t="shared" si="16"/>
        <v>611143.67670330382</v>
      </c>
      <c r="AL18" s="221">
        <f t="shared" si="16"/>
        <v>0</v>
      </c>
      <c r="AM18" s="221">
        <f t="shared" si="16"/>
        <v>0</v>
      </c>
      <c r="AN18" s="221">
        <f t="shared" si="16"/>
        <v>0</v>
      </c>
      <c r="AO18" s="221">
        <f t="shared" si="16"/>
        <v>0</v>
      </c>
      <c r="AP18" s="221">
        <f t="shared" si="16"/>
        <v>0</v>
      </c>
      <c r="AQ18" s="221">
        <f t="shared" si="16"/>
        <v>638052.73057650286</v>
      </c>
      <c r="AR18" s="221">
        <f t="shared" si="16"/>
        <v>0</v>
      </c>
      <c r="AS18" s="221">
        <f t="shared" si="16"/>
        <v>0</v>
      </c>
      <c r="AT18" s="221">
        <f t="shared" si="16"/>
        <v>0</v>
      </c>
      <c r="AU18" s="221">
        <f t="shared" si="16"/>
        <v>0</v>
      </c>
      <c r="AV18" s="221">
        <f t="shared" si="16"/>
        <v>0</v>
      </c>
      <c r="AW18" s="221">
        <f t="shared" si="16"/>
        <v>666146.6076066012</v>
      </c>
      <c r="AX18" s="221">
        <f t="shared" si="16"/>
        <v>0</v>
      </c>
      <c r="AY18" s="221">
        <f t="shared" si="16"/>
        <v>0</v>
      </c>
      <c r="AZ18" s="221">
        <f t="shared" si="16"/>
        <v>0</v>
      </c>
      <c r="BA18" s="221">
        <f t="shared" si="16"/>
        <v>0</v>
      </c>
      <c r="BB18" s="221">
        <f t="shared" si="16"/>
        <v>0</v>
      </c>
      <c r="BC18" s="221">
        <f t="shared" si="16"/>
        <v>695477.47632838809</v>
      </c>
      <c r="BD18" s="221">
        <f t="shared" si="16"/>
        <v>0</v>
      </c>
      <c r="BE18" s="221">
        <f t="shared" si="16"/>
        <v>0</v>
      </c>
      <c r="BF18" s="221">
        <f t="shared" si="16"/>
        <v>0</v>
      </c>
      <c r="BG18" s="221">
        <f t="shared" si="16"/>
        <v>0</v>
      </c>
      <c r="BH18" s="221">
        <f t="shared" si="16"/>
        <v>0</v>
      </c>
      <c r="BI18" s="221">
        <f t="shared" si="16"/>
        <v>726099.80229119537</v>
      </c>
      <c r="BJ18" s="221">
        <f t="shared" si="16"/>
        <v>0</v>
      </c>
      <c r="BK18" s="221">
        <f t="shared" si="16"/>
        <v>0</v>
      </c>
      <c r="BL18" s="221">
        <f t="shared" si="16"/>
        <v>0</v>
      </c>
      <c r="BM18" s="221">
        <f t="shared" si="16"/>
        <v>0</v>
      </c>
      <c r="BN18" s="221">
        <f t="shared" si="16"/>
        <v>0</v>
      </c>
      <c r="BO18" s="221">
        <f t="shared" si="16"/>
        <v>758070.44919794309</v>
      </c>
      <c r="BP18" s="221">
        <f t="shared" si="16"/>
        <v>0</v>
      </c>
      <c r="BQ18" s="221">
        <f t="shared" ref="BQ18:EB21" si="17">BQ43+BQ67+BQ91+BQ115+BQ139</f>
        <v>0</v>
      </c>
      <c r="BR18" s="221">
        <f t="shared" si="17"/>
        <v>0</v>
      </c>
      <c r="BS18" s="221">
        <f t="shared" si="17"/>
        <v>0</v>
      </c>
      <c r="BT18" s="221">
        <f t="shared" si="17"/>
        <v>0</v>
      </c>
      <c r="BU18" s="221">
        <f t="shared" si="17"/>
        <v>791448.78449740307</v>
      </c>
      <c r="BV18" s="221">
        <f t="shared" si="17"/>
        <v>0</v>
      </c>
      <c r="BW18" s="221">
        <f t="shared" si="17"/>
        <v>0</v>
      </c>
      <c r="BX18" s="221">
        <f t="shared" si="17"/>
        <v>0</v>
      </c>
      <c r="BY18" s="221">
        <f t="shared" si="17"/>
        <v>0</v>
      </c>
      <c r="BZ18" s="221">
        <f t="shared" si="17"/>
        <v>0</v>
      </c>
      <c r="CA18" s="221">
        <f t="shared" si="17"/>
        <v>826296.78962575807</v>
      </c>
      <c r="CB18" s="221">
        <f t="shared" si="17"/>
        <v>0</v>
      </c>
      <c r="CC18" s="221">
        <f t="shared" si="17"/>
        <v>0</v>
      </c>
      <c r="CD18" s="221">
        <f t="shared" si="17"/>
        <v>0</v>
      </c>
      <c r="CE18" s="221">
        <f t="shared" si="17"/>
        <v>0</v>
      </c>
      <c r="CF18" s="221">
        <f t="shared" si="17"/>
        <v>0</v>
      </c>
      <c r="CG18" s="221">
        <f t="shared" si="17"/>
        <v>862679.17510216939</v>
      </c>
      <c r="CH18" s="221">
        <f t="shared" si="17"/>
        <v>0</v>
      </c>
      <c r="CI18" s="221">
        <f t="shared" si="17"/>
        <v>0</v>
      </c>
      <c r="CJ18" s="221">
        <f t="shared" si="17"/>
        <v>0</v>
      </c>
      <c r="CK18" s="221">
        <f t="shared" si="17"/>
        <v>0</v>
      </c>
      <c r="CL18" s="221">
        <f t="shared" si="17"/>
        <v>0</v>
      </c>
      <c r="CM18" s="221">
        <f t="shared" si="17"/>
        <v>900663.5006920764</v>
      </c>
      <c r="CN18" s="221">
        <f t="shared" si="17"/>
        <v>0</v>
      </c>
      <c r="CO18" s="221">
        <f t="shared" si="17"/>
        <v>0</v>
      </c>
      <c r="CP18" s="221">
        <f t="shared" si="17"/>
        <v>0</v>
      </c>
      <c r="CQ18" s="221">
        <f t="shared" si="17"/>
        <v>0</v>
      </c>
      <c r="CR18" s="221">
        <f t="shared" si="17"/>
        <v>0</v>
      </c>
      <c r="CS18" s="221">
        <f t="shared" si="17"/>
        <v>940320.3008613647</v>
      </c>
      <c r="CT18" s="221">
        <f t="shared" si="17"/>
        <v>0</v>
      </c>
      <c r="CU18" s="221">
        <f t="shared" si="17"/>
        <v>0</v>
      </c>
      <c r="CV18" s="221">
        <f t="shared" si="17"/>
        <v>0</v>
      </c>
      <c r="CW18" s="221">
        <f t="shared" si="17"/>
        <v>0</v>
      </c>
      <c r="CX18" s="221">
        <f t="shared" si="17"/>
        <v>0</v>
      </c>
      <c r="CY18" s="221">
        <f t="shared" si="17"/>
        <v>981723.21575436334</v>
      </c>
      <c r="CZ18" s="221">
        <f t="shared" si="17"/>
        <v>0</v>
      </c>
      <c r="DA18" s="221">
        <f t="shared" si="17"/>
        <v>0</v>
      </c>
      <c r="DB18" s="221">
        <f t="shared" si="17"/>
        <v>0</v>
      </c>
      <c r="DC18" s="221">
        <f t="shared" si="17"/>
        <v>0</v>
      </c>
      <c r="DD18" s="221">
        <f t="shared" si="17"/>
        <v>0</v>
      </c>
      <c r="DE18" s="221">
        <f t="shared" si="17"/>
        <v>1024949.1279388876</v>
      </c>
      <c r="DF18" s="221">
        <f t="shared" si="17"/>
        <v>0</v>
      </c>
      <c r="DG18" s="221">
        <f t="shared" si="17"/>
        <v>0</v>
      </c>
      <c r="DH18" s="221">
        <f t="shared" si="17"/>
        <v>0</v>
      </c>
      <c r="DI18" s="221">
        <f t="shared" si="17"/>
        <v>0</v>
      </c>
      <c r="DJ18" s="221">
        <f t="shared" si="17"/>
        <v>0</v>
      </c>
      <c r="DK18" s="221">
        <f t="shared" si="17"/>
        <v>1070078.3051722562</v>
      </c>
      <c r="DL18" s="221">
        <f t="shared" si="17"/>
        <v>0</v>
      </c>
      <c r="DM18" s="221">
        <f t="shared" si="17"/>
        <v>0</v>
      </c>
      <c r="DN18" s="221">
        <f t="shared" si="17"/>
        <v>0</v>
      </c>
      <c r="DO18" s="221">
        <f t="shared" si="17"/>
        <v>0</v>
      </c>
      <c r="DP18" s="221">
        <f t="shared" si="17"/>
        <v>0</v>
      </c>
      <c r="DQ18" s="221">
        <f t="shared" si="17"/>
        <v>1117194.5494533877</v>
      </c>
      <c r="DR18" s="221">
        <f t="shared" si="17"/>
        <v>0</v>
      </c>
      <c r="DS18" s="221">
        <f t="shared" si="17"/>
        <v>0</v>
      </c>
      <c r="DT18" s="221">
        <f t="shared" si="17"/>
        <v>0</v>
      </c>
      <c r="DU18" s="221">
        <f t="shared" si="17"/>
        <v>0</v>
      </c>
      <c r="DV18" s="221">
        <f t="shared" si="17"/>
        <v>0</v>
      </c>
      <c r="DW18" s="221">
        <f t="shared" si="17"/>
        <v>1166385.3526377594</v>
      </c>
      <c r="DX18" s="221">
        <f t="shared" si="17"/>
        <v>0</v>
      </c>
      <c r="DY18" s="221">
        <f t="shared" si="17"/>
        <v>0</v>
      </c>
      <c r="DZ18" s="221">
        <f t="shared" si="17"/>
        <v>0</v>
      </c>
      <c r="EA18" s="221">
        <f t="shared" si="17"/>
        <v>0</v>
      </c>
      <c r="EB18" s="221">
        <f t="shared" si="17"/>
        <v>0</v>
      </c>
      <c r="EC18" s="221">
        <f t="shared" ref="EC18:EQ21" si="18">EC43+EC67+EC91+EC115+EC139</f>
        <v>0</v>
      </c>
      <c r="ED18" s="221">
        <f t="shared" si="18"/>
        <v>0</v>
      </c>
      <c r="EE18" s="221">
        <f t="shared" si="18"/>
        <v>0</v>
      </c>
      <c r="EF18" s="221">
        <f t="shared" si="18"/>
        <v>0</v>
      </c>
      <c r="EG18" s="221">
        <f t="shared" si="18"/>
        <v>0</v>
      </c>
      <c r="EH18" s="221">
        <f t="shared" si="18"/>
        <v>0</v>
      </c>
      <c r="EI18" s="221">
        <f t="shared" si="18"/>
        <v>0</v>
      </c>
      <c r="EJ18" s="221">
        <f t="shared" si="18"/>
        <v>0</v>
      </c>
      <c r="EK18" s="221">
        <f t="shared" si="18"/>
        <v>0</v>
      </c>
      <c r="EL18" s="221">
        <f t="shared" si="18"/>
        <v>0</v>
      </c>
      <c r="EM18" s="221">
        <f t="shared" si="18"/>
        <v>0</v>
      </c>
      <c r="EN18" s="221">
        <f t="shared" si="18"/>
        <v>0</v>
      </c>
      <c r="EO18" s="221">
        <f t="shared" si="18"/>
        <v>0</v>
      </c>
      <c r="EP18" s="221">
        <f t="shared" si="18"/>
        <v>0</v>
      </c>
      <c r="EQ18" s="222">
        <f t="shared" si="18"/>
        <v>0</v>
      </c>
    </row>
    <row r="19" spans="1:147" x14ac:dyDescent="0.25">
      <c r="A19" s="226" t="s">
        <v>354</v>
      </c>
      <c r="B19" s="227"/>
      <c r="C19" s="228">
        <f>SUM(D19:EQ19)</f>
        <v>6536933.8054578481</v>
      </c>
      <c r="D19" s="228">
        <f t="shared" ref="D19:S21" si="19">D44+D68+D92+D116+D140</f>
        <v>0</v>
      </c>
      <c r="E19" s="228">
        <f t="shared" si="19"/>
        <v>0</v>
      </c>
      <c r="F19" s="228">
        <f t="shared" si="19"/>
        <v>0</v>
      </c>
      <c r="G19" s="228">
        <f t="shared" si="19"/>
        <v>0</v>
      </c>
      <c r="H19" s="228">
        <f t="shared" si="19"/>
        <v>0</v>
      </c>
      <c r="I19" s="228">
        <f t="shared" si="19"/>
        <v>0</v>
      </c>
      <c r="J19" s="228">
        <f t="shared" si="19"/>
        <v>0</v>
      </c>
      <c r="K19" s="228">
        <f t="shared" si="19"/>
        <v>0</v>
      </c>
      <c r="L19" s="228">
        <f t="shared" si="19"/>
        <v>0</v>
      </c>
      <c r="M19" s="228">
        <f t="shared" si="19"/>
        <v>114004.18298242851</v>
      </c>
      <c r="N19" s="228">
        <f t="shared" si="19"/>
        <v>0</v>
      </c>
      <c r="O19" s="228">
        <f t="shared" si="19"/>
        <v>0</v>
      </c>
      <c r="P19" s="228">
        <f t="shared" si="19"/>
        <v>0</v>
      </c>
      <c r="Q19" s="228">
        <f t="shared" si="19"/>
        <v>0</v>
      </c>
      <c r="R19" s="228">
        <f t="shared" si="19"/>
        <v>0</v>
      </c>
      <c r="S19" s="228">
        <f t="shared" si="19"/>
        <v>110333.11984517162</v>
      </c>
      <c r="T19" s="228">
        <f t="shared" si="16"/>
        <v>0</v>
      </c>
      <c r="U19" s="228">
        <f t="shared" si="16"/>
        <v>0</v>
      </c>
      <c r="V19" s="228">
        <f t="shared" si="16"/>
        <v>0</v>
      </c>
      <c r="W19" s="228">
        <f t="shared" si="16"/>
        <v>0</v>
      </c>
      <c r="X19" s="228">
        <f t="shared" si="16"/>
        <v>0</v>
      </c>
      <c r="Y19" s="228">
        <f t="shared" si="16"/>
        <v>308522.64512201864</v>
      </c>
      <c r="Z19" s="228">
        <f t="shared" si="16"/>
        <v>0</v>
      </c>
      <c r="AA19" s="228">
        <f t="shared" si="16"/>
        <v>0</v>
      </c>
      <c r="AB19" s="228">
        <f t="shared" si="16"/>
        <v>0</v>
      </c>
      <c r="AC19" s="228">
        <f t="shared" si="16"/>
        <v>0</v>
      </c>
      <c r="AD19" s="228">
        <f t="shared" si="16"/>
        <v>0</v>
      </c>
      <c r="AE19" s="228">
        <f t="shared" si="16"/>
        <v>296930.75948050595</v>
      </c>
      <c r="AF19" s="228">
        <f t="shared" si="16"/>
        <v>0</v>
      </c>
      <c r="AG19" s="228">
        <f t="shared" si="16"/>
        <v>0</v>
      </c>
      <c r="AH19" s="228">
        <f t="shared" si="16"/>
        <v>0</v>
      </c>
      <c r="AI19" s="228">
        <f t="shared" si="16"/>
        <v>0</v>
      </c>
      <c r="AJ19" s="228">
        <f t="shared" si="16"/>
        <v>0</v>
      </c>
      <c r="AK19" s="228">
        <f t="shared" si="16"/>
        <v>606598.38220088894</v>
      </c>
      <c r="AL19" s="228">
        <f t="shared" si="16"/>
        <v>0</v>
      </c>
      <c r="AM19" s="228">
        <f t="shared" si="16"/>
        <v>0</v>
      </c>
      <c r="AN19" s="228">
        <f t="shared" si="16"/>
        <v>0</v>
      </c>
      <c r="AO19" s="228">
        <f t="shared" si="16"/>
        <v>0</v>
      </c>
      <c r="AP19" s="228">
        <f t="shared" si="16"/>
        <v>0</v>
      </c>
      <c r="AQ19" s="228">
        <f t="shared" si="16"/>
        <v>579689.32832768979</v>
      </c>
      <c r="AR19" s="228">
        <f t="shared" si="16"/>
        <v>0</v>
      </c>
      <c r="AS19" s="228">
        <f t="shared" si="16"/>
        <v>0</v>
      </c>
      <c r="AT19" s="228">
        <f t="shared" si="16"/>
        <v>0</v>
      </c>
      <c r="AU19" s="228">
        <f t="shared" si="16"/>
        <v>0</v>
      </c>
      <c r="AV19" s="228">
        <f t="shared" si="16"/>
        <v>0</v>
      </c>
      <c r="AW19" s="228">
        <f t="shared" si="16"/>
        <v>551595.45129759144</v>
      </c>
      <c r="AX19" s="228">
        <f t="shared" si="16"/>
        <v>0</v>
      </c>
      <c r="AY19" s="228">
        <f t="shared" si="16"/>
        <v>0</v>
      </c>
      <c r="AZ19" s="228">
        <f t="shared" si="16"/>
        <v>0</v>
      </c>
      <c r="BA19" s="228">
        <f t="shared" si="16"/>
        <v>0</v>
      </c>
      <c r="BB19" s="228">
        <f t="shared" si="16"/>
        <v>0</v>
      </c>
      <c r="BC19" s="228">
        <f t="shared" si="16"/>
        <v>522264.58257580461</v>
      </c>
      <c r="BD19" s="228">
        <f t="shared" si="16"/>
        <v>0</v>
      </c>
      <c r="BE19" s="228">
        <f t="shared" si="16"/>
        <v>0</v>
      </c>
      <c r="BF19" s="228">
        <f t="shared" si="16"/>
        <v>0</v>
      </c>
      <c r="BG19" s="228">
        <f t="shared" si="16"/>
        <v>0</v>
      </c>
      <c r="BH19" s="228">
        <f t="shared" si="16"/>
        <v>0</v>
      </c>
      <c r="BI19" s="228">
        <f t="shared" si="16"/>
        <v>491642.25661299727</v>
      </c>
      <c r="BJ19" s="228">
        <f t="shared" si="16"/>
        <v>0</v>
      </c>
      <c r="BK19" s="228">
        <f t="shared" si="16"/>
        <v>0</v>
      </c>
      <c r="BL19" s="228">
        <f t="shared" si="16"/>
        <v>0</v>
      </c>
      <c r="BM19" s="228">
        <f t="shared" si="16"/>
        <v>0</v>
      </c>
      <c r="BN19" s="228">
        <f t="shared" si="16"/>
        <v>0</v>
      </c>
      <c r="BO19" s="228">
        <f t="shared" si="16"/>
        <v>459671.6097062495</v>
      </c>
      <c r="BP19" s="228">
        <f t="shared" si="16"/>
        <v>0</v>
      </c>
      <c r="BQ19" s="228">
        <f t="shared" si="17"/>
        <v>0</v>
      </c>
      <c r="BR19" s="228">
        <f t="shared" si="17"/>
        <v>0</v>
      </c>
      <c r="BS19" s="228">
        <f t="shared" si="17"/>
        <v>0</v>
      </c>
      <c r="BT19" s="228">
        <f t="shared" si="17"/>
        <v>0</v>
      </c>
      <c r="BU19" s="228">
        <f t="shared" si="17"/>
        <v>426293.27440678963</v>
      </c>
      <c r="BV19" s="228">
        <f t="shared" si="17"/>
        <v>0</v>
      </c>
      <c r="BW19" s="228">
        <f t="shared" si="17"/>
        <v>0</v>
      </c>
      <c r="BX19" s="228">
        <f t="shared" si="17"/>
        <v>0</v>
      </c>
      <c r="BY19" s="228">
        <f t="shared" si="17"/>
        <v>0</v>
      </c>
      <c r="BZ19" s="228">
        <f t="shared" si="17"/>
        <v>0</v>
      </c>
      <c r="CA19" s="228">
        <f t="shared" si="17"/>
        <v>391445.26927843463</v>
      </c>
      <c r="CB19" s="228">
        <f t="shared" si="17"/>
        <v>0</v>
      </c>
      <c r="CC19" s="228">
        <f t="shared" si="17"/>
        <v>0</v>
      </c>
      <c r="CD19" s="228">
        <f t="shared" si="17"/>
        <v>0</v>
      </c>
      <c r="CE19" s="228">
        <f t="shared" si="17"/>
        <v>0</v>
      </c>
      <c r="CF19" s="228">
        <f t="shared" si="17"/>
        <v>0</v>
      </c>
      <c r="CG19" s="228">
        <f t="shared" si="17"/>
        <v>355062.88380202325</v>
      </c>
      <c r="CH19" s="228">
        <f t="shared" si="17"/>
        <v>0</v>
      </c>
      <c r="CI19" s="228">
        <f t="shared" si="17"/>
        <v>0</v>
      </c>
      <c r="CJ19" s="228">
        <f t="shared" si="17"/>
        <v>0</v>
      </c>
      <c r="CK19" s="228">
        <f t="shared" si="17"/>
        <v>0</v>
      </c>
      <c r="CL19" s="228">
        <f t="shared" si="17"/>
        <v>0</v>
      </c>
      <c r="CM19" s="228">
        <f t="shared" si="17"/>
        <v>317078.5582121163</v>
      </c>
      <c r="CN19" s="228">
        <f t="shared" si="17"/>
        <v>0</v>
      </c>
      <c r="CO19" s="228">
        <f t="shared" si="17"/>
        <v>0</v>
      </c>
      <c r="CP19" s="228">
        <f t="shared" si="17"/>
        <v>0</v>
      </c>
      <c r="CQ19" s="228">
        <f t="shared" si="17"/>
        <v>0</v>
      </c>
      <c r="CR19" s="228">
        <f t="shared" si="17"/>
        <v>0</v>
      </c>
      <c r="CS19" s="228">
        <f t="shared" si="17"/>
        <v>277421.75804282795</v>
      </c>
      <c r="CT19" s="228">
        <f t="shared" si="17"/>
        <v>0</v>
      </c>
      <c r="CU19" s="228">
        <f t="shared" si="17"/>
        <v>0</v>
      </c>
      <c r="CV19" s="228">
        <f t="shared" si="17"/>
        <v>0</v>
      </c>
      <c r="CW19" s="228">
        <f t="shared" si="17"/>
        <v>0</v>
      </c>
      <c r="CX19" s="228">
        <f t="shared" si="17"/>
        <v>0</v>
      </c>
      <c r="CY19" s="228">
        <f t="shared" si="17"/>
        <v>236018.84314982928</v>
      </c>
      <c r="CZ19" s="228">
        <f t="shared" si="17"/>
        <v>0</v>
      </c>
      <c r="DA19" s="228">
        <f t="shared" si="17"/>
        <v>0</v>
      </c>
      <c r="DB19" s="228">
        <f t="shared" si="17"/>
        <v>0</v>
      </c>
      <c r="DC19" s="228">
        <f t="shared" si="17"/>
        <v>0</v>
      </c>
      <c r="DD19" s="228">
        <f t="shared" si="17"/>
        <v>0</v>
      </c>
      <c r="DE19" s="228">
        <f t="shared" si="17"/>
        <v>192792.93096530499</v>
      </c>
      <c r="DF19" s="228">
        <f t="shared" si="17"/>
        <v>0</v>
      </c>
      <c r="DG19" s="228">
        <f t="shared" si="17"/>
        <v>0</v>
      </c>
      <c r="DH19" s="228">
        <f t="shared" si="17"/>
        <v>0</v>
      </c>
      <c r="DI19" s="228">
        <f t="shared" si="17"/>
        <v>0</v>
      </c>
      <c r="DJ19" s="228">
        <f t="shared" si="17"/>
        <v>0</v>
      </c>
      <c r="DK19" s="228">
        <f t="shared" si="17"/>
        <v>147663.75373193651</v>
      </c>
      <c r="DL19" s="228">
        <f t="shared" si="17"/>
        <v>0</v>
      </c>
      <c r="DM19" s="228">
        <f t="shared" si="17"/>
        <v>0</v>
      </c>
      <c r="DN19" s="228">
        <f t="shared" si="17"/>
        <v>0</v>
      </c>
      <c r="DO19" s="228">
        <f t="shared" si="17"/>
        <v>0</v>
      </c>
      <c r="DP19" s="228">
        <f t="shared" si="17"/>
        <v>0</v>
      </c>
      <c r="DQ19" s="228">
        <f t="shared" si="17"/>
        <v>100547.50945080502</v>
      </c>
      <c r="DR19" s="228">
        <f t="shared" si="17"/>
        <v>0</v>
      </c>
      <c r="DS19" s="228">
        <f t="shared" si="17"/>
        <v>0</v>
      </c>
      <c r="DT19" s="228">
        <f t="shared" si="17"/>
        <v>0</v>
      </c>
      <c r="DU19" s="228">
        <f t="shared" si="17"/>
        <v>0</v>
      </c>
      <c r="DV19" s="228">
        <f t="shared" si="17"/>
        <v>0</v>
      </c>
      <c r="DW19" s="228">
        <f t="shared" si="17"/>
        <v>51356.706266433335</v>
      </c>
      <c r="DX19" s="228">
        <f t="shared" si="17"/>
        <v>0</v>
      </c>
      <c r="DY19" s="228">
        <f t="shared" si="17"/>
        <v>0</v>
      </c>
      <c r="DZ19" s="228">
        <f t="shared" si="17"/>
        <v>0</v>
      </c>
      <c r="EA19" s="228">
        <f t="shared" si="17"/>
        <v>0</v>
      </c>
      <c r="EB19" s="228">
        <f t="shared" si="17"/>
        <v>0</v>
      </c>
      <c r="EC19" s="228">
        <f t="shared" si="18"/>
        <v>0</v>
      </c>
      <c r="ED19" s="228">
        <f t="shared" si="18"/>
        <v>0</v>
      </c>
      <c r="EE19" s="228">
        <f t="shared" si="18"/>
        <v>0</v>
      </c>
      <c r="EF19" s="228">
        <f t="shared" si="18"/>
        <v>0</v>
      </c>
      <c r="EG19" s="228">
        <f t="shared" si="18"/>
        <v>0</v>
      </c>
      <c r="EH19" s="228">
        <f t="shared" si="18"/>
        <v>0</v>
      </c>
      <c r="EI19" s="228">
        <f t="shared" si="18"/>
        <v>0</v>
      </c>
      <c r="EJ19" s="228">
        <f t="shared" si="18"/>
        <v>0</v>
      </c>
      <c r="EK19" s="228">
        <f t="shared" si="18"/>
        <v>0</v>
      </c>
      <c r="EL19" s="228">
        <f t="shared" si="18"/>
        <v>0</v>
      </c>
      <c r="EM19" s="228">
        <f t="shared" si="18"/>
        <v>0</v>
      </c>
      <c r="EN19" s="228">
        <f t="shared" si="18"/>
        <v>0</v>
      </c>
      <c r="EO19" s="228">
        <f t="shared" si="18"/>
        <v>0</v>
      </c>
      <c r="EP19" s="228">
        <f t="shared" si="18"/>
        <v>0</v>
      </c>
      <c r="EQ19" s="229">
        <f t="shared" si="18"/>
        <v>0</v>
      </c>
    </row>
    <row r="20" spans="1:147" x14ac:dyDescent="0.25">
      <c r="A20" s="226" t="s">
        <v>355</v>
      </c>
      <c r="B20" s="227"/>
      <c r="C20" s="228">
        <f>SUM(D20:EQ20)</f>
        <v>72426.401202400099</v>
      </c>
      <c r="D20" s="228">
        <f t="shared" si="19"/>
        <v>0</v>
      </c>
      <c r="E20" s="228">
        <f t="shared" si="19"/>
        <v>0</v>
      </c>
      <c r="F20" s="228">
        <f t="shared" si="19"/>
        <v>0</v>
      </c>
      <c r="G20" s="228">
        <f t="shared" si="19"/>
        <v>12946.002463659781</v>
      </c>
      <c r="H20" s="228">
        <f t="shared" si="19"/>
        <v>0</v>
      </c>
      <c r="I20" s="228">
        <f t="shared" si="19"/>
        <v>0</v>
      </c>
      <c r="J20" s="228">
        <f t="shared" si="19"/>
        <v>0</v>
      </c>
      <c r="K20" s="228">
        <f t="shared" si="19"/>
        <v>0</v>
      </c>
      <c r="L20" s="228">
        <f t="shared" si="19"/>
        <v>0</v>
      </c>
      <c r="M20" s="228">
        <f t="shared" si="19"/>
        <v>0</v>
      </c>
      <c r="N20" s="228">
        <f t="shared" si="19"/>
        <v>0</v>
      </c>
      <c r="O20" s="228">
        <f t="shared" si="19"/>
        <v>0</v>
      </c>
      <c r="P20" s="228">
        <f t="shared" si="19"/>
        <v>0</v>
      </c>
      <c r="Q20" s="228">
        <f t="shared" si="19"/>
        <v>0</v>
      </c>
      <c r="R20" s="228">
        <f t="shared" si="19"/>
        <v>0</v>
      </c>
      <c r="S20" s="228">
        <f t="shared" si="19"/>
        <v>22941.09031153805</v>
      </c>
      <c r="T20" s="228">
        <f t="shared" si="16"/>
        <v>0</v>
      </c>
      <c r="U20" s="228">
        <f t="shared" si="16"/>
        <v>0</v>
      </c>
      <c r="V20" s="228">
        <f t="shared" si="16"/>
        <v>0</v>
      </c>
      <c r="W20" s="228">
        <f t="shared" si="16"/>
        <v>0</v>
      </c>
      <c r="X20" s="228">
        <f t="shared" si="16"/>
        <v>0</v>
      </c>
      <c r="Y20" s="228">
        <f t="shared" si="16"/>
        <v>0</v>
      </c>
      <c r="Z20" s="228">
        <f t="shared" si="16"/>
        <v>0</v>
      </c>
      <c r="AA20" s="228">
        <f t="shared" si="16"/>
        <v>0</v>
      </c>
      <c r="AB20" s="228">
        <f t="shared" si="16"/>
        <v>0</v>
      </c>
      <c r="AC20" s="228">
        <f t="shared" si="16"/>
        <v>0</v>
      </c>
      <c r="AD20" s="228">
        <f t="shared" si="16"/>
        <v>0</v>
      </c>
      <c r="AE20" s="228">
        <f t="shared" si="16"/>
        <v>36539.308427202275</v>
      </c>
      <c r="AF20" s="228">
        <f t="shared" si="16"/>
        <v>0</v>
      </c>
      <c r="AG20" s="228">
        <f t="shared" si="16"/>
        <v>0</v>
      </c>
      <c r="AH20" s="228">
        <f t="shared" si="16"/>
        <v>0</v>
      </c>
      <c r="AI20" s="228">
        <f t="shared" si="16"/>
        <v>0</v>
      </c>
      <c r="AJ20" s="228">
        <f t="shared" si="16"/>
        <v>0</v>
      </c>
      <c r="AK20" s="228">
        <f t="shared" si="16"/>
        <v>0</v>
      </c>
      <c r="AL20" s="228">
        <f t="shared" si="16"/>
        <v>0</v>
      </c>
      <c r="AM20" s="228">
        <f t="shared" si="16"/>
        <v>0</v>
      </c>
      <c r="AN20" s="228">
        <f t="shared" si="16"/>
        <v>0</v>
      </c>
      <c r="AO20" s="228">
        <f t="shared" si="16"/>
        <v>0</v>
      </c>
      <c r="AP20" s="228">
        <f t="shared" si="16"/>
        <v>0</v>
      </c>
      <c r="AQ20" s="228">
        <f t="shared" si="16"/>
        <v>0</v>
      </c>
      <c r="AR20" s="228">
        <f t="shared" si="16"/>
        <v>0</v>
      </c>
      <c r="AS20" s="228">
        <f t="shared" si="16"/>
        <v>0</v>
      </c>
      <c r="AT20" s="228">
        <f t="shared" si="16"/>
        <v>0</v>
      </c>
      <c r="AU20" s="228">
        <f t="shared" si="16"/>
        <v>0</v>
      </c>
      <c r="AV20" s="228">
        <f t="shared" si="16"/>
        <v>0</v>
      </c>
      <c r="AW20" s="228">
        <f t="shared" si="16"/>
        <v>0</v>
      </c>
      <c r="AX20" s="228">
        <f t="shared" si="16"/>
        <v>0</v>
      </c>
      <c r="AY20" s="228">
        <f t="shared" si="16"/>
        <v>0</v>
      </c>
      <c r="AZ20" s="228">
        <f t="shared" si="16"/>
        <v>0</v>
      </c>
      <c r="BA20" s="228">
        <f t="shared" si="16"/>
        <v>0</v>
      </c>
      <c r="BB20" s="228">
        <f t="shared" si="16"/>
        <v>0</v>
      </c>
      <c r="BC20" s="228">
        <f t="shared" si="16"/>
        <v>0</v>
      </c>
      <c r="BD20" s="228">
        <f t="shared" si="16"/>
        <v>0</v>
      </c>
      <c r="BE20" s="228">
        <f t="shared" si="16"/>
        <v>0</v>
      </c>
      <c r="BF20" s="228">
        <f t="shared" si="16"/>
        <v>0</v>
      </c>
      <c r="BG20" s="228">
        <f t="shared" si="16"/>
        <v>0</v>
      </c>
      <c r="BH20" s="228">
        <f t="shared" si="16"/>
        <v>0</v>
      </c>
      <c r="BI20" s="228">
        <f t="shared" si="16"/>
        <v>0</v>
      </c>
      <c r="BJ20" s="228">
        <f t="shared" si="16"/>
        <v>0</v>
      </c>
      <c r="BK20" s="228">
        <f t="shared" si="16"/>
        <v>0</v>
      </c>
      <c r="BL20" s="228">
        <f t="shared" si="16"/>
        <v>0</v>
      </c>
      <c r="BM20" s="228">
        <f t="shared" si="16"/>
        <v>0</v>
      </c>
      <c r="BN20" s="228">
        <f t="shared" si="16"/>
        <v>0</v>
      </c>
      <c r="BO20" s="228">
        <f t="shared" si="16"/>
        <v>0</v>
      </c>
      <c r="BP20" s="228">
        <f t="shared" si="16"/>
        <v>0</v>
      </c>
      <c r="BQ20" s="228">
        <f t="shared" si="17"/>
        <v>0</v>
      </c>
      <c r="BR20" s="228">
        <f t="shared" si="17"/>
        <v>0</v>
      </c>
      <c r="BS20" s="228">
        <f t="shared" si="17"/>
        <v>0</v>
      </c>
      <c r="BT20" s="228">
        <f t="shared" si="17"/>
        <v>0</v>
      </c>
      <c r="BU20" s="228">
        <f t="shared" si="17"/>
        <v>0</v>
      </c>
      <c r="BV20" s="228">
        <f t="shared" si="17"/>
        <v>0</v>
      </c>
      <c r="BW20" s="228">
        <f t="shared" si="17"/>
        <v>0</v>
      </c>
      <c r="BX20" s="228">
        <f t="shared" si="17"/>
        <v>0</v>
      </c>
      <c r="BY20" s="228">
        <f t="shared" si="17"/>
        <v>0</v>
      </c>
      <c r="BZ20" s="228">
        <f t="shared" si="17"/>
        <v>0</v>
      </c>
      <c r="CA20" s="228">
        <f t="shared" si="17"/>
        <v>0</v>
      </c>
      <c r="CB20" s="228">
        <f t="shared" si="17"/>
        <v>0</v>
      </c>
      <c r="CC20" s="228">
        <f t="shared" si="17"/>
        <v>0</v>
      </c>
      <c r="CD20" s="228">
        <f t="shared" si="17"/>
        <v>0</v>
      </c>
      <c r="CE20" s="228">
        <f t="shared" si="17"/>
        <v>0</v>
      </c>
      <c r="CF20" s="228">
        <f t="shared" si="17"/>
        <v>0</v>
      </c>
      <c r="CG20" s="228">
        <f t="shared" si="17"/>
        <v>0</v>
      </c>
      <c r="CH20" s="228">
        <f t="shared" si="17"/>
        <v>0</v>
      </c>
      <c r="CI20" s="228">
        <f t="shared" si="17"/>
        <v>0</v>
      </c>
      <c r="CJ20" s="228">
        <f t="shared" si="17"/>
        <v>0</v>
      </c>
      <c r="CK20" s="228">
        <f t="shared" si="17"/>
        <v>0</v>
      </c>
      <c r="CL20" s="228">
        <f t="shared" si="17"/>
        <v>0</v>
      </c>
      <c r="CM20" s="228">
        <f t="shared" si="17"/>
        <v>0</v>
      </c>
      <c r="CN20" s="228">
        <f t="shared" si="17"/>
        <v>0</v>
      </c>
      <c r="CO20" s="228">
        <f t="shared" si="17"/>
        <v>0</v>
      </c>
      <c r="CP20" s="228">
        <f t="shared" si="17"/>
        <v>0</v>
      </c>
      <c r="CQ20" s="228">
        <f t="shared" si="17"/>
        <v>0</v>
      </c>
      <c r="CR20" s="228">
        <f t="shared" si="17"/>
        <v>0</v>
      </c>
      <c r="CS20" s="228">
        <f t="shared" si="17"/>
        <v>0</v>
      </c>
      <c r="CT20" s="228">
        <f t="shared" si="17"/>
        <v>0</v>
      </c>
      <c r="CU20" s="228">
        <f t="shared" si="17"/>
        <v>0</v>
      </c>
      <c r="CV20" s="228">
        <f t="shared" si="17"/>
        <v>0</v>
      </c>
      <c r="CW20" s="228">
        <f t="shared" si="17"/>
        <v>0</v>
      </c>
      <c r="CX20" s="228">
        <f t="shared" si="17"/>
        <v>0</v>
      </c>
      <c r="CY20" s="228">
        <f t="shared" si="17"/>
        <v>0</v>
      </c>
      <c r="CZ20" s="228">
        <f t="shared" si="17"/>
        <v>0</v>
      </c>
      <c r="DA20" s="228">
        <f t="shared" si="17"/>
        <v>0</v>
      </c>
      <c r="DB20" s="228">
        <f t="shared" si="17"/>
        <v>0</v>
      </c>
      <c r="DC20" s="228">
        <f t="shared" si="17"/>
        <v>0</v>
      </c>
      <c r="DD20" s="228">
        <f t="shared" si="17"/>
        <v>0</v>
      </c>
      <c r="DE20" s="228">
        <f t="shared" si="17"/>
        <v>0</v>
      </c>
      <c r="DF20" s="228">
        <f t="shared" si="17"/>
        <v>0</v>
      </c>
      <c r="DG20" s="228">
        <f t="shared" si="17"/>
        <v>0</v>
      </c>
      <c r="DH20" s="228">
        <f t="shared" si="17"/>
        <v>0</v>
      </c>
      <c r="DI20" s="228">
        <f t="shared" si="17"/>
        <v>0</v>
      </c>
      <c r="DJ20" s="228">
        <f t="shared" si="17"/>
        <v>0</v>
      </c>
      <c r="DK20" s="228">
        <f t="shared" si="17"/>
        <v>0</v>
      </c>
      <c r="DL20" s="228">
        <f t="shared" si="17"/>
        <v>0</v>
      </c>
      <c r="DM20" s="228">
        <f t="shared" si="17"/>
        <v>0</v>
      </c>
      <c r="DN20" s="228">
        <f t="shared" si="17"/>
        <v>0</v>
      </c>
      <c r="DO20" s="228">
        <f t="shared" si="17"/>
        <v>0</v>
      </c>
      <c r="DP20" s="228">
        <f t="shared" si="17"/>
        <v>0</v>
      </c>
      <c r="DQ20" s="228">
        <f t="shared" si="17"/>
        <v>0</v>
      </c>
      <c r="DR20" s="228">
        <f t="shared" si="17"/>
        <v>0</v>
      </c>
      <c r="DS20" s="228">
        <f t="shared" si="17"/>
        <v>0</v>
      </c>
      <c r="DT20" s="228">
        <f t="shared" si="17"/>
        <v>0</v>
      </c>
      <c r="DU20" s="228">
        <f t="shared" si="17"/>
        <v>0</v>
      </c>
      <c r="DV20" s="228">
        <f t="shared" si="17"/>
        <v>0</v>
      </c>
      <c r="DW20" s="228">
        <f t="shared" si="17"/>
        <v>0</v>
      </c>
      <c r="DX20" s="228">
        <f t="shared" si="17"/>
        <v>0</v>
      </c>
      <c r="DY20" s="228">
        <f t="shared" si="17"/>
        <v>0</v>
      </c>
      <c r="DZ20" s="228">
        <f t="shared" si="17"/>
        <v>0</v>
      </c>
      <c r="EA20" s="228">
        <f t="shared" si="17"/>
        <v>0</v>
      </c>
      <c r="EB20" s="228">
        <f t="shared" si="17"/>
        <v>0</v>
      </c>
      <c r="EC20" s="228">
        <f t="shared" si="18"/>
        <v>0</v>
      </c>
      <c r="ED20" s="228">
        <f t="shared" si="18"/>
        <v>0</v>
      </c>
      <c r="EE20" s="228">
        <f t="shared" si="18"/>
        <v>0</v>
      </c>
      <c r="EF20" s="228">
        <f t="shared" si="18"/>
        <v>0</v>
      </c>
      <c r="EG20" s="228">
        <f t="shared" si="18"/>
        <v>0</v>
      </c>
      <c r="EH20" s="228">
        <f t="shared" si="18"/>
        <v>0</v>
      </c>
      <c r="EI20" s="228">
        <f t="shared" si="18"/>
        <v>0</v>
      </c>
      <c r="EJ20" s="228">
        <f t="shared" si="18"/>
        <v>0</v>
      </c>
      <c r="EK20" s="228">
        <f t="shared" si="18"/>
        <v>0</v>
      </c>
      <c r="EL20" s="228">
        <f t="shared" si="18"/>
        <v>0</v>
      </c>
      <c r="EM20" s="228">
        <f t="shared" si="18"/>
        <v>0</v>
      </c>
      <c r="EN20" s="228">
        <f t="shared" si="18"/>
        <v>0</v>
      </c>
      <c r="EO20" s="228">
        <f t="shared" si="18"/>
        <v>0</v>
      </c>
      <c r="EP20" s="228">
        <f t="shared" si="18"/>
        <v>0</v>
      </c>
      <c r="EQ20" s="229">
        <f t="shared" si="18"/>
        <v>0</v>
      </c>
    </row>
    <row r="21" spans="1:147" x14ac:dyDescent="0.25">
      <c r="A21" s="230" t="s">
        <v>356</v>
      </c>
      <c r="B21" s="231"/>
      <c r="C21" s="232"/>
      <c r="D21" s="232">
        <f t="shared" si="19"/>
        <v>0</v>
      </c>
      <c r="E21" s="232">
        <f t="shared" si="16"/>
        <v>0</v>
      </c>
      <c r="F21" s="232">
        <f t="shared" si="16"/>
        <v>0</v>
      </c>
      <c r="G21" s="232">
        <f t="shared" si="16"/>
        <v>2589200.4927319563</v>
      </c>
      <c r="H21" s="232">
        <f t="shared" si="16"/>
        <v>2589200.4927319563</v>
      </c>
      <c r="I21" s="232">
        <f t="shared" si="16"/>
        <v>2589200.4927319563</v>
      </c>
      <c r="J21" s="232">
        <f t="shared" si="16"/>
        <v>2589200.4927319563</v>
      </c>
      <c r="K21" s="232">
        <f t="shared" si="16"/>
        <v>2589200.4927319563</v>
      </c>
      <c r="L21" s="232">
        <f t="shared" si="16"/>
        <v>2589200.4927319563</v>
      </c>
      <c r="M21" s="232">
        <f t="shared" si="16"/>
        <v>2505825.319688519</v>
      </c>
      <c r="N21" s="232">
        <f t="shared" si="16"/>
        <v>2505825.319688519</v>
      </c>
      <c r="O21" s="232">
        <f t="shared" si="16"/>
        <v>2505825.319688519</v>
      </c>
      <c r="P21" s="232">
        <f t="shared" si="16"/>
        <v>2505825.319688519</v>
      </c>
      <c r="Q21" s="232">
        <f t="shared" si="16"/>
        <v>2505825.319688519</v>
      </c>
      <c r="R21" s="232">
        <f t="shared" si="16"/>
        <v>2505825.319688519</v>
      </c>
      <c r="S21" s="232">
        <f t="shared" si="16"/>
        <v>7006997.1458154349</v>
      </c>
      <c r="T21" s="232">
        <f t="shared" si="16"/>
        <v>7006997.1458154349</v>
      </c>
      <c r="U21" s="232">
        <f t="shared" si="16"/>
        <v>7006997.1458154349</v>
      </c>
      <c r="V21" s="232">
        <f t="shared" si="16"/>
        <v>7006997.1458154349</v>
      </c>
      <c r="W21" s="232">
        <f t="shared" si="16"/>
        <v>7006997.1458154349</v>
      </c>
      <c r="X21" s="232">
        <f t="shared" si="16"/>
        <v>7006997.1458154349</v>
      </c>
      <c r="Y21" s="232">
        <f t="shared" si="16"/>
        <v>6743728.595227927</v>
      </c>
      <c r="Z21" s="232">
        <f t="shared" si="16"/>
        <v>6743728.595227927</v>
      </c>
      <c r="AA21" s="232">
        <f t="shared" si="16"/>
        <v>6743728.595227927</v>
      </c>
      <c r="AB21" s="232">
        <f t="shared" si="16"/>
        <v>6743728.595227927</v>
      </c>
      <c r="AC21" s="232">
        <f t="shared" si="16"/>
        <v>6743728.595227927</v>
      </c>
      <c r="AD21" s="232">
        <f t="shared" si="16"/>
        <v>6743728.595227927</v>
      </c>
      <c r="AE21" s="232">
        <f t="shared" si="16"/>
        <v>13776729.844439361</v>
      </c>
      <c r="AF21" s="232">
        <f t="shared" si="16"/>
        <v>13776729.844439361</v>
      </c>
      <c r="AG21" s="232">
        <f t="shared" si="16"/>
        <v>13776729.844439361</v>
      </c>
      <c r="AH21" s="232">
        <f t="shared" si="16"/>
        <v>13776729.844439361</v>
      </c>
      <c r="AI21" s="232">
        <f t="shared" si="16"/>
        <v>13776729.844439361</v>
      </c>
      <c r="AJ21" s="232">
        <f t="shared" si="16"/>
        <v>13776729.844439361</v>
      </c>
      <c r="AK21" s="232">
        <f t="shared" si="16"/>
        <v>13165586.167736057</v>
      </c>
      <c r="AL21" s="232">
        <f t="shared" si="16"/>
        <v>13165586.167736057</v>
      </c>
      <c r="AM21" s="232">
        <f t="shared" si="16"/>
        <v>13165586.167736057</v>
      </c>
      <c r="AN21" s="232">
        <f t="shared" si="16"/>
        <v>13165586.167736057</v>
      </c>
      <c r="AO21" s="232">
        <f t="shared" si="16"/>
        <v>13165586.167736057</v>
      </c>
      <c r="AP21" s="232">
        <f t="shared" si="16"/>
        <v>13165586.167736057</v>
      </c>
      <c r="AQ21" s="232">
        <f t="shared" si="16"/>
        <v>12527533.437159555</v>
      </c>
      <c r="AR21" s="232">
        <f t="shared" si="16"/>
        <v>12527533.437159555</v>
      </c>
      <c r="AS21" s="232">
        <f t="shared" si="16"/>
        <v>12527533.437159555</v>
      </c>
      <c r="AT21" s="232">
        <f t="shared" si="16"/>
        <v>12527533.437159555</v>
      </c>
      <c r="AU21" s="232">
        <f t="shared" si="16"/>
        <v>12527533.437159555</v>
      </c>
      <c r="AV21" s="232">
        <f t="shared" si="16"/>
        <v>12527533.437159555</v>
      </c>
      <c r="AW21" s="232">
        <f t="shared" si="16"/>
        <v>11861386.829552952</v>
      </c>
      <c r="AX21" s="232">
        <f t="shared" si="16"/>
        <v>11861386.829552952</v>
      </c>
      <c r="AY21" s="232">
        <f t="shared" si="16"/>
        <v>11861386.829552952</v>
      </c>
      <c r="AZ21" s="232">
        <f t="shared" si="16"/>
        <v>11861386.829552952</v>
      </c>
      <c r="BA21" s="232">
        <f t="shared" si="16"/>
        <v>11861386.829552952</v>
      </c>
      <c r="BB21" s="232">
        <f t="shared" si="16"/>
        <v>11861386.829552952</v>
      </c>
      <c r="BC21" s="232">
        <f t="shared" si="16"/>
        <v>11165909.353224564</v>
      </c>
      <c r="BD21" s="232">
        <f t="shared" si="16"/>
        <v>11165909.353224564</v>
      </c>
      <c r="BE21" s="232">
        <f t="shared" si="16"/>
        <v>11165909.353224564</v>
      </c>
      <c r="BF21" s="232">
        <f t="shared" si="16"/>
        <v>11165909.353224564</v>
      </c>
      <c r="BG21" s="232">
        <f t="shared" si="16"/>
        <v>11165909.353224564</v>
      </c>
      <c r="BH21" s="232">
        <f t="shared" si="16"/>
        <v>11165909.353224564</v>
      </c>
      <c r="BI21" s="232">
        <f t="shared" si="16"/>
        <v>10439809.550933369</v>
      </c>
      <c r="BJ21" s="232">
        <f t="shared" si="16"/>
        <v>10439809.550933369</v>
      </c>
      <c r="BK21" s="232">
        <f t="shared" si="16"/>
        <v>10439809.550933369</v>
      </c>
      <c r="BL21" s="232">
        <f t="shared" si="16"/>
        <v>10439809.550933369</v>
      </c>
      <c r="BM21" s="232">
        <f t="shared" si="16"/>
        <v>10439809.550933369</v>
      </c>
      <c r="BN21" s="232">
        <f t="shared" si="16"/>
        <v>10439809.550933369</v>
      </c>
      <c r="BO21" s="232">
        <f t="shared" si="16"/>
        <v>9681739.101735428</v>
      </c>
      <c r="BP21" s="232">
        <f t="shared" si="16"/>
        <v>9681739.101735428</v>
      </c>
      <c r="BQ21" s="232">
        <f t="shared" si="17"/>
        <v>9681739.101735428</v>
      </c>
      <c r="BR21" s="232">
        <f t="shared" si="17"/>
        <v>9681739.101735428</v>
      </c>
      <c r="BS21" s="232">
        <f t="shared" si="17"/>
        <v>9681739.101735428</v>
      </c>
      <c r="BT21" s="232">
        <f t="shared" si="17"/>
        <v>9681739.101735428</v>
      </c>
      <c r="BU21" s="232">
        <f t="shared" si="17"/>
        <v>8890290.3172380254</v>
      </c>
      <c r="BV21" s="232">
        <f t="shared" si="17"/>
        <v>8890290.3172380254</v>
      </c>
      <c r="BW21" s="232">
        <f t="shared" si="17"/>
        <v>8890290.3172380254</v>
      </c>
      <c r="BX21" s="232">
        <f t="shared" si="17"/>
        <v>8890290.3172380254</v>
      </c>
      <c r="BY21" s="232">
        <f t="shared" si="17"/>
        <v>8890290.3172380254</v>
      </c>
      <c r="BZ21" s="232">
        <f t="shared" si="17"/>
        <v>8890290.3172380254</v>
      </c>
      <c r="CA21" s="232">
        <f t="shared" si="17"/>
        <v>8063993.5276122661</v>
      </c>
      <c r="CB21" s="232">
        <f t="shared" si="17"/>
        <v>8063993.5276122661</v>
      </c>
      <c r="CC21" s="232">
        <f t="shared" si="17"/>
        <v>8063993.5276122661</v>
      </c>
      <c r="CD21" s="232">
        <f t="shared" si="17"/>
        <v>8063993.5276122661</v>
      </c>
      <c r="CE21" s="232">
        <f t="shared" si="17"/>
        <v>8063993.5276122661</v>
      </c>
      <c r="CF21" s="232">
        <f t="shared" si="17"/>
        <v>8063993.5276122661</v>
      </c>
      <c r="CG21" s="232">
        <f t="shared" si="17"/>
        <v>7201314.3525100965</v>
      </c>
      <c r="CH21" s="232">
        <f t="shared" si="17"/>
        <v>7201314.3525100965</v>
      </c>
      <c r="CI21" s="232">
        <f t="shared" si="17"/>
        <v>7201314.3525100965</v>
      </c>
      <c r="CJ21" s="232">
        <f t="shared" si="17"/>
        <v>7201314.3525100965</v>
      </c>
      <c r="CK21" s="232">
        <f t="shared" si="17"/>
        <v>7201314.3525100965</v>
      </c>
      <c r="CL21" s="232">
        <f t="shared" si="17"/>
        <v>7201314.3525100965</v>
      </c>
      <c r="CM21" s="232">
        <f t="shared" si="17"/>
        <v>6300650.8518180205</v>
      </c>
      <c r="CN21" s="232">
        <f t="shared" si="17"/>
        <v>6300650.8518180205</v>
      </c>
      <c r="CO21" s="232">
        <f t="shared" si="17"/>
        <v>6300650.8518180205</v>
      </c>
      <c r="CP21" s="232">
        <f t="shared" si="17"/>
        <v>6300650.8518180205</v>
      </c>
      <c r="CQ21" s="232">
        <f t="shared" si="17"/>
        <v>6300650.8518180205</v>
      </c>
      <c r="CR21" s="232">
        <f t="shared" si="17"/>
        <v>6300650.8518180205</v>
      </c>
      <c r="CS21" s="232">
        <f t="shared" si="17"/>
        <v>5360330.5509566553</v>
      </c>
      <c r="CT21" s="232">
        <f t="shared" si="17"/>
        <v>5360330.5509566553</v>
      </c>
      <c r="CU21" s="232">
        <f t="shared" si="17"/>
        <v>5360330.5509566553</v>
      </c>
      <c r="CV21" s="232">
        <f t="shared" si="17"/>
        <v>5360330.5509566553</v>
      </c>
      <c r="CW21" s="232">
        <f t="shared" si="17"/>
        <v>5360330.5509566553</v>
      </c>
      <c r="CX21" s="232">
        <f t="shared" si="17"/>
        <v>5360330.5509566553</v>
      </c>
      <c r="CY21" s="232">
        <f t="shared" si="17"/>
        <v>4378607.3352022916</v>
      </c>
      <c r="CZ21" s="232">
        <f t="shared" si="17"/>
        <v>4378607.3352022916</v>
      </c>
      <c r="DA21" s="232">
        <f t="shared" si="17"/>
        <v>4378607.3352022916</v>
      </c>
      <c r="DB21" s="232">
        <f t="shared" si="17"/>
        <v>4378607.3352022916</v>
      </c>
      <c r="DC21" s="232">
        <f t="shared" si="17"/>
        <v>4378607.3352022916</v>
      </c>
      <c r="DD21" s="232">
        <f t="shared" si="17"/>
        <v>4378607.3352022916</v>
      </c>
      <c r="DE21" s="232">
        <f t="shared" si="17"/>
        <v>3353658.2072634045</v>
      </c>
      <c r="DF21" s="232">
        <f t="shared" si="17"/>
        <v>3353658.2072634045</v>
      </c>
      <c r="DG21" s="232">
        <f t="shared" si="17"/>
        <v>3353658.2072634045</v>
      </c>
      <c r="DH21" s="232">
        <f t="shared" si="17"/>
        <v>3353658.2072634045</v>
      </c>
      <c r="DI21" s="232">
        <f t="shared" si="17"/>
        <v>3353658.2072634045</v>
      </c>
      <c r="DJ21" s="232">
        <f t="shared" si="17"/>
        <v>3353658.2072634045</v>
      </c>
      <c r="DK21" s="232">
        <f t="shared" si="17"/>
        <v>2283579.9020911478</v>
      </c>
      <c r="DL21" s="232">
        <f t="shared" si="17"/>
        <v>2283579.9020911478</v>
      </c>
      <c r="DM21" s="232">
        <f t="shared" si="17"/>
        <v>2283579.9020911478</v>
      </c>
      <c r="DN21" s="232">
        <f t="shared" si="17"/>
        <v>2283579.9020911478</v>
      </c>
      <c r="DO21" s="232">
        <f t="shared" si="17"/>
        <v>2283579.9020911478</v>
      </c>
      <c r="DP21" s="232">
        <f t="shared" si="17"/>
        <v>2283579.9020911478</v>
      </c>
      <c r="DQ21" s="232">
        <f t="shared" si="17"/>
        <v>1166385.3526377603</v>
      </c>
      <c r="DR21" s="232">
        <f t="shared" si="17"/>
        <v>1166385.3526377603</v>
      </c>
      <c r="DS21" s="232">
        <f t="shared" si="17"/>
        <v>1166385.3526377603</v>
      </c>
      <c r="DT21" s="232">
        <f t="shared" si="17"/>
        <v>1166385.3526377603</v>
      </c>
      <c r="DU21" s="232">
        <f t="shared" si="17"/>
        <v>1166385.3526377603</v>
      </c>
      <c r="DV21" s="232">
        <f t="shared" si="17"/>
        <v>1166385.3526377603</v>
      </c>
      <c r="DW21" s="232">
        <f t="shared" si="17"/>
        <v>9.6042640507221222E-10</v>
      </c>
      <c r="DX21" s="232">
        <f t="shared" si="17"/>
        <v>9.6042640507221222E-10</v>
      </c>
      <c r="DY21" s="232">
        <f t="shared" si="17"/>
        <v>9.6042640507221222E-10</v>
      </c>
      <c r="DZ21" s="232">
        <f t="shared" si="17"/>
        <v>9.6042640507221222E-10</v>
      </c>
      <c r="EA21" s="232">
        <f t="shared" si="17"/>
        <v>9.6042640507221222E-10</v>
      </c>
      <c r="EB21" s="232">
        <f t="shared" ref="EB21:EK21" si="20">EB46+EB70+EB94+EB118+EB142</f>
        <v>9.6042640507221222E-10</v>
      </c>
      <c r="EC21" s="232">
        <f t="shared" si="20"/>
        <v>9.6042640507221222E-10</v>
      </c>
      <c r="ED21" s="232">
        <f t="shared" si="20"/>
        <v>9.6042640507221222E-10</v>
      </c>
      <c r="EE21" s="232">
        <f t="shared" si="20"/>
        <v>9.6042640507221222E-10</v>
      </c>
      <c r="EF21" s="232">
        <f t="shared" si="20"/>
        <v>9.6042640507221222E-10</v>
      </c>
      <c r="EG21" s="232">
        <f t="shared" si="20"/>
        <v>9.6042640507221222E-10</v>
      </c>
      <c r="EH21" s="232">
        <f t="shared" si="20"/>
        <v>9.6042640507221222E-10</v>
      </c>
      <c r="EI21" s="232">
        <f t="shared" si="20"/>
        <v>9.6042640507221222E-10</v>
      </c>
      <c r="EJ21" s="232">
        <f t="shared" si="20"/>
        <v>9.6042640507221222E-10</v>
      </c>
      <c r="EK21" s="232">
        <f t="shared" si="20"/>
        <v>9.6042640507221222E-10</v>
      </c>
      <c r="EL21" s="232">
        <f t="shared" si="18"/>
        <v>9.6042640507221222E-10</v>
      </c>
      <c r="EM21" s="232">
        <f t="shared" si="18"/>
        <v>9.6042640507221222E-10</v>
      </c>
      <c r="EN21" s="232">
        <f t="shared" si="18"/>
        <v>9.6042640507221222E-10</v>
      </c>
      <c r="EO21" s="232">
        <f t="shared" si="18"/>
        <v>9.6042640507221222E-10</v>
      </c>
      <c r="EP21" s="232">
        <f t="shared" si="18"/>
        <v>9.6042640507221222E-10</v>
      </c>
      <c r="EQ21" s="233">
        <f t="shared" si="18"/>
        <v>9.6042640507221222E-10</v>
      </c>
    </row>
    <row r="23" spans="1:147" ht="15.75" x14ac:dyDescent="0.25">
      <c r="A23" s="215" t="s">
        <v>358</v>
      </c>
      <c r="B23" s="235">
        <v>0.09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</row>
    <row r="24" spans="1:147" x14ac:dyDescent="0.25"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</row>
    <row r="25" spans="1:147" ht="15.75" x14ac:dyDescent="0.25">
      <c r="A25" s="215" t="s">
        <v>359</v>
      </c>
      <c r="B25" s="215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</row>
    <row r="26" spans="1:147" x14ac:dyDescent="0.25"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4"/>
      <c r="DV26" s="234"/>
      <c r="DW26" s="234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34"/>
      <c r="EL26" s="234"/>
      <c r="EM26" s="234"/>
      <c r="EN26" s="234"/>
      <c r="EO26" s="234"/>
      <c r="EP26" s="234"/>
      <c r="EQ26" s="234"/>
    </row>
    <row r="27" spans="1:147" x14ac:dyDescent="0.25">
      <c r="A27" s="218" t="s">
        <v>360</v>
      </c>
      <c r="B27" s="219"/>
      <c r="C27" s="236">
        <v>43922</v>
      </c>
      <c r="D27" s="237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</row>
    <row r="28" spans="1:147" x14ac:dyDescent="0.25">
      <c r="A28" s="226" t="s">
        <v>361</v>
      </c>
      <c r="B28" s="227"/>
      <c r="C28" s="228">
        <f>D8</f>
        <v>2589200.4927319563</v>
      </c>
      <c r="D28" s="238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</row>
    <row r="29" spans="1:147" x14ac:dyDescent="0.25">
      <c r="A29" s="239" t="s">
        <v>362</v>
      </c>
      <c r="B29" s="240"/>
      <c r="C29" s="241">
        <v>10</v>
      </c>
      <c r="D29" s="238" t="s">
        <v>363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4"/>
      <c r="DV29" s="234"/>
      <c r="DW29" s="234"/>
      <c r="DX29" s="234"/>
      <c r="DY29" s="234"/>
      <c r="DZ29" s="234"/>
      <c r="EA29" s="234"/>
      <c r="EB29" s="234"/>
      <c r="EC29" s="234"/>
      <c r="ED29" s="234"/>
      <c r="EE29" s="234"/>
      <c r="EF29" s="234"/>
      <c r="EG29" s="234"/>
      <c r="EH29" s="234"/>
      <c r="EI29" s="234"/>
      <c r="EJ29" s="234"/>
      <c r="EK29" s="234"/>
      <c r="EL29" s="234"/>
      <c r="EM29" s="234"/>
      <c r="EN29" s="234"/>
      <c r="EO29" s="234"/>
      <c r="EP29" s="234"/>
      <c r="EQ29" s="234"/>
    </row>
    <row r="30" spans="1:147" x14ac:dyDescent="0.25">
      <c r="A30" s="223"/>
      <c r="B30" s="224"/>
      <c r="C30" s="241">
        <f>C29*2</f>
        <v>20</v>
      </c>
      <c r="D30" s="238" t="s">
        <v>364</v>
      </c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</row>
    <row r="31" spans="1:147" x14ac:dyDescent="0.25">
      <c r="A31" s="239" t="s">
        <v>365</v>
      </c>
      <c r="B31" s="240"/>
      <c r="C31" s="241">
        <v>0</v>
      </c>
      <c r="D31" s="238" t="s">
        <v>363</v>
      </c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</row>
    <row r="32" spans="1:147" x14ac:dyDescent="0.25">
      <c r="A32" s="223"/>
      <c r="B32" s="224"/>
      <c r="C32" s="241">
        <f>C31*2</f>
        <v>0</v>
      </c>
      <c r="D32" s="238" t="s">
        <v>364</v>
      </c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</row>
    <row r="33" spans="1:147" x14ac:dyDescent="0.25">
      <c r="A33" s="217" t="s">
        <v>366</v>
      </c>
      <c r="B33" s="242"/>
      <c r="C33" s="243">
        <f>B23</f>
        <v>0.09</v>
      </c>
      <c r="D33" s="238" t="s">
        <v>367</v>
      </c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</row>
    <row r="34" spans="1:147" x14ac:dyDescent="0.25">
      <c r="A34" s="217"/>
      <c r="B34" s="242"/>
      <c r="C34" s="244">
        <f>((1+C33)^(1/2))-1</f>
        <v>4.4030650891055068E-2</v>
      </c>
      <c r="D34" s="238" t="s">
        <v>368</v>
      </c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</row>
    <row r="35" spans="1:147" x14ac:dyDescent="0.25">
      <c r="A35" s="239" t="s">
        <v>369</v>
      </c>
      <c r="B35" s="240"/>
      <c r="C35" s="244">
        <f>C33</f>
        <v>0.09</v>
      </c>
      <c r="D35" s="238" t="s">
        <v>367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</row>
    <row r="36" spans="1:147" x14ac:dyDescent="0.25">
      <c r="A36" s="223"/>
      <c r="B36" s="224"/>
      <c r="C36" s="244">
        <f>((1+C35)^(1/2))-1</f>
        <v>4.4030650891055068E-2</v>
      </c>
      <c r="D36" s="238" t="s">
        <v>368</v>
      </c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</row>
    <row r="37" spans="1:147" x14ac:dyDescent="0.25">
      <c r="A37" s="226" t="s">
        <v>370</v>
      </c>
      <c r="B37" s="227"/>
      <c r="C37" s="245">
        <f>SUMIF(39:39,C30,41:41)</f>
        <v>47574</v>
      </c>
      <c r="D37" s="238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46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</row>
    <row r="38" spans="1:147" x14ac:dyDescent="0.25">
      <c r="A38" s="230" t="s">
        <v>371</v>
      </c>
      <c r="B38" s="231"/>
      <c r="C38" s="247">
        <v>5.0000000000000001E-3</v>
      </c>
      <c r="D38" s="248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</row>
    <row r="39" spans="1:147" x14ac:dyDescent="0.25">
      <c r="C39" s="249"/>
      <c r="D39" s="234"/>
      <c r="E39" s="234"/>
      <c r="F39" s="234"/>
      <c r="G39" s="18">
        <f t="shared" ref="G39:R39" si="21">IF(G42=DATE(YEAR($C$27),MONTH($C$27)+6,DAY($C$27)),1,IF(AND(A39&gt;0,A39&lt;$C30,G42&gt;=DATE(YEAR($C$27),MONTH($C$27)+6,DAY($C$27)-1)),A39+1,0))+IF(AND(G41=DATE(YEAR($C27),MONTH($C27)+6,DAY($C27))),1,0)</f>
        <v>0</v>
      </c>
      <c r="H39" s="18">
        <f t="shared" si="21"/>
        <v>0</v>
      </c>
      <c r="I39" s="18">
        <f t="shared" si="21"/>
        <v>0</v>
      </c>
      <c r="J39" s="18">
        <f t="shared" si="21"/>
        <v>0</v>
      </c>
      <c r="K39" s="18">
        <f t="shared" si="21"/>
        <v>0</v>
      </c>
      <c r="L39" s="18">
        <f t="shared" si="21"/>
        <v>0</v>
      </c>
      <c r="M39" s="18">
        <f t="shared" si="21"/>
        <v>1</v>
      </c>
      <c r="N39" s="18">
        <f t="shared" si="21"/>
        <v>0</v>
      </c>
      <c r="O39" s="18">
        <f t="shared" si="21"/>
        <v>0</v>
      </c>
      <c r="P39" s="18">
        <f t="shared" si="21"/>
        <v>0</v>
      </c>
      <c r="Q39" s="18">
        <f t="shared" si="21"/>
        <v>0</v>
      </c>
      <c r="R39" s="18">
        <f t="shared" si="21"/>
        <v>0</v>
      </c>
      <c r="S39" s="18">
        <f>IF(S42=DATE(YEAR($C$27),MONTH($C$27)+6,DAY($C$27)),1,IF(AND(M39&gt;0,M39&lt;$C30,S42&gt;=DATE(YEAR($C$27),MONTH($C$27)+6,DAY($C$27)-1)),M39+1,0))+IF(AND(S41=DATE(YEAR($C27),MONTH($C27)+6,DAY($C27))),1,0)</f>
        <v>2</v>
      </c>
      <c r="T39" s="18">
        <f t="shared" ref="T39:CE39" si="22">IF(T42=DATE(YEAR($C$27),MONTH($C$27)+6,DAY($C$27)),1,IF(AND(N39&gt;0,N39&lt;$C30,T42&gt;=DATE(YEAR($C$27),MONTH($C$27)+6,DAY($C$27)-1)),N39+1,0))+IF(AND(T41=DATE(YEAR($C27),MONTH($C27)+6,DAY($C27))),1,0)</f>
        <v>0</v>
      </c>
      <c r="U39" s="18">
        <f t="shared" si="22"/>
        <v>0</v>
      </c>
      <c r="V39" s="18">
        <f t="shared" si="22"/>
        <v>0</v>
      </c>
      <c r="W39" s="18">
        <f t="shared" si="22"/>
        <v>0</v>
      </c>
      <c r="X39" s="18">
        <f t="shared" si="22"/>
        <v>0</v>
      </c>
      <c r="Y39" s="18">
        <f t="shared" si="22"/>
        <v>3</v>
      </c>
      <c r="Z39" s="18">
        <f t="shared" si="22"/>
        <v>0</v>
      </c>
      <c r="AA39" s="18">
        <f t="shared" si="22"/>
        <v>0</v>
      </c>
      <c r="AB39" s="18">
        <f t="shared" si="22"/>
        <v>0</v>
      </c>
      <c r="AC39" s="18">
        <f t="shared" si="22"/>
        <v>0</v>
      </c>
      <c r="AD39" s="18">
        <f t="shared" si="22"/>
        <v>0</v>
      </c>
      <c r="AE39" s="18">
        <f t="shared" si="22"/>
        <v>4</v>
      </c>
      <c r="AF39" s="18">
        <f t="shared" si="22"/>
        <v>0</v>
      </c>
      <c r="AG39" s="18">
        <f t="shared" si="22"/>
        <v>0</v>
      </c>
      <c r="AH39" s="18">
        <f t="shared" si="22"/>
        <v>0</v>
      </c>
      <c r="AI39" s="18">
        <f t="shared" si="22"/>
        <v>0</v>
      </c>
      <c r="AJ39" s="18">
        <f t="shared" si="22"/>
        <v>0</v>
      </c>
      <c r="AK39" s="18">
        <f t="shared" si="22"/>
        <v>5</v>
      </c>
      <c r="AL39" s="18">
        <f t="shared" si="22"/>
        <v>0</v>
      </c>
      <c r="AM39" s="18">
        <f t="shared" si="22"/>
        <v>0</v>
      </c>
      <c r="AN39" s="18">
        <f t="shared" si="22"/>
        <v>0</v>
      </c>
      <c r="AO39" s="18">
        <f t="shared" si="22"/>
        <v>0</v>
      </c>
      <c r="AP39" s="18">
        <f t="shared" si="22"/>
        <v>0</v>
      </c>
      <c r="AQ39" s="18">
        <f t="shared" si="22"/>
        <v>6</v>
      </c>
      <c r="AR39" s="18">
        <f t="shared" si="22"/>
        <v>0</v>
      </c>
      <c r="AS39" s="18">
        <f t="shared" si="22"/>
        <v>0</v>
      </c>
      <c r="AT39" s="18">
        <f t="shared" si="22"/>
        <v>0</v>
      </c>
      <c r="AU39" s="18">
        <f t="shared" si="22"/>
        <v>0</v>
      </c>
      <c r="AV39" s="18">
        <f t="shared" si="22"/>
        <v>0</v>
      </c>
      <c r="AW39" s="18">
        <f t="shared" si="22"/>
        <v>7</v>
      </c>
      <c r="AX39" s="18">
        <f t="shared" si="22"/>
        <v>0</v>
      </c>
      <c r="AY39" s="18">
        <f t="shared" si="22"/>
        <v>0</v>
      </c>
      <c r="AZ39" s="18">
        <f t="shared" si="22"/>
        <v>0</v>
      </c>
      <c r="BA39" s="18">
        <f t="shared" si="22"/>
        <v>0</v>
      </c>
      <c r="BB39" s="18">
        <f t="shared" si="22"/>
        <v>0</v>
      </c>
      <c r="BC39" s="18">
        <f t="shared" si="22"/>
        <v>8</v>
      </c>
      <c r="BD39" s="18">
        <f t="shared" si="22"/>
        <v>0</v>
      </c>
      <c r="BE39" s="18">
        <f t="shared" si="22"/>
        <v>0</v>
      </c>
      <c r="BF39" s="18">
        <f t="shared" si="22"/>
        <v>0</v>
      </c>
      <c r="BG39" s="18">
        <f t="shared" si="22"/>
        <v>0</v>
      </c>
      <c r="BH39" s="18">
        <f t="shared" si="22"/>
        <v>0</v>
      </c>
      <c r="BI39" s="18">
        <f t="shared" si="22"/>
        <v>9</v>
      </c>
      <c r="BJ39" s="18">
        <f t="shared" si="22"/>
        <v>0</v>
      </c>
      <c r="BK39" s="18">
        <f t="shared" si="22"/>
        <v>0</v>
      </c>
      <c r="BL39" s="18">
        <f t="shared" si="22"/>
        <v>0</v>
      </c>
      <c r="BM39" s="18">
        <f t="shared" si="22"/>
        <v>0</v>
      </c>
      <c r="BN39" s="18">
        <f t="shared" si="22"/>
        <v>0</v>
      </c>
      <c r="BO39" s="18">
        <f t="shared" si="22"/>
        <v>10</v>
      </c>
      <c r="BP39" s="18">
        <f t="shared" si="22"/>
        <v>0</v>
      </c>
      <c r="BQ39" s="18">
        <f t="shared" si="22"/>
        <v>0</v>
      </c>
      <c r="BR39" s="18">
        <f t="shared" si="22"/>
        <v>0</v>
      </c>
      <c r="BS39" s="18">
        <f t="shared" si="22"/>
        <v>0</v>
      </c>
      <c r="BT39" s="18">
        <f t="shared" si="22"/>
        <v>0</v>
      </c>
      <c r="BU39" s="18">
        <f t="shared" si="22"/>
        <v>11</v>
      </c>
      <c r="BV39" s="18">
        <f t="shared" si="22"/>
        <v>0</v>
      </c>
      <c r="BW39" s="18">
        <f t="shared" si="22"/>
        <v>0</v>
      </c>
      <c r="BX39" s="18">
        <f t="shared" si="22"/>
        <v>0</v>
      </c>
      <c r="BY39" s="18">
        <f t="shared" si="22"/>
        <v>0</v>
      </c>
      <c r="BZ39" s="18">
        <f t="shared" si="22"/>
        <v>0</v>
      </c>
      <c r="CA39" s="18">
        <f t="shared" si="22"/>
        <v>12</v>
      </c>
      <c r="CB39" s="18">
        <f t="shared" si="22"/>
        <v>0</v>
      </c>
      <c r="CC39" s="18">
        <f t="shared" si="22"/>
        <v>0</v>
      </c>
      <c r="CD39" s="18">
        <f t="shared" si="22"/>
        <v>0</v>
      </c>
      <c r="CE39" s="18">
        <f t="shared" si="22"/>
        <v>0</v>
      </c>
      <c r="CF39" s="18">
        <f t="shared" ref="CF39:EQ39" si="23">IF(CF42=DATE(YEAR($C$27),MONTH($C$27)+6,DAY($C$27)),1,IF(AND(BZ39&gt;0,BZ39&lt;$C30,CF42&gt;=DATE(YEAR($C$27),MONTH($C$27)+6,DAY($C$27)-1)),BZ39+1,0))+IF(AND(CF41=DATE(YEAR($C27),MONTH($C27)+6,DAY($C27))),1,0)</f>
        <v>0</v>
      </c>
      <c r="CG39" s="18">
        <f t="shared" si="23"/>
        <v>13</v>
      </c>
      <c r="CH39" s="18">
        <f t="shared" si="23"/>
        <v>0</v>
      </c>
      <c r="CI39" s="18">
        <f t="shared" si="23"/>
        <v>0</v>
      </c>
      <c r="CJ39" s="18">
        <f t="shared" si="23"/>
        <v>0</v>
      </c>
      <c r="CK39" s="18">
        <f t="shared" si="23"/>
        <v>0</v>
      </c>
      <c r="CL39" s="18">
        <f t="shared" si="23"/>
        <v>0</v>
      </c>
      <c r="CM39" s="18">
        <f t="shared" si="23"/>
        <v>14</v>
      </c>
      <c r="CN39" s="18">
        <f t="shared" si="23"/>
        <v>0</v>
      </c>
      <c r="CO39" s="18">
        <f t="shared" si="23"/>
        <v>0</v>
      </c>
      <c r="CP39" s="18">
        <f t="shared" si="23"/>
        <v>0</v>
      </c>
      <c r="CQ39" s="18">
        <f t="shared" si="23"/>
        <v>0</v>
      </c>
      <c r="CR39" s="18">
        <f t="shared" si="23"/>
        <v>0</v>
      </c>
      <c r="CS39" s="18">
        <f t="shared" si="23"/>
        <v>15</v>
      </c>
      <c r="CT39" s="18">
        <f t="shared" si="23"/>
        <v>0</v>
      </c>
      <c r="CU39" s="18">
        <f t="shared" si="23"/>
        <v>0</v>
      </c>
      <c r="CV39" s="18">
        <f t="shared" si="23"/>
        <v>0</v>
      </c>
      <c r="CW39" s="18">
        <f t="shared" si="23"/>
        <v>0</v>
      </c>
      <c r="CX39" s="18">
        <f t="shared" si="23"/>
        <v>0</v>
      </c>
      <c r="CY39" s="18">
        <f t="shared" si="23"/>
        <v>16</v>
      </c>
      <c r="CZ39" s="18">
        <f t="shared" si="23"/>
        <v>0</v>
      </c>
      <c r="DA39" s="18">
        <f t="shared" si="23"/>
        <v>0</v>
      </c>
      <c r="DB39" s="18">
        <f t="shared" si="23"/>
        <v>0</v>
      </c>
      <c r="DC39" s="18">
        <f t="shared" si="23"/>
        <v>0</v>
      </c>
      <c r="DD39" s="18">
        <f t="shared" si="23"/>
        <v>0</v>
      </c>
      <c r="DE39" s="18">
        <f t="shared" si="23"/>
        <v>17</v>
      </c>
      <c r="DF39" s="18">
        <f t="shared" si="23"/>
        <v>0</v>
      </c>
      <c r="DG39" s="18">
        <f t="shared" si="23"/>
        <v>0</v>
      </c>
      <c r="DH39" s="18">
        <f t="shared" si="23"/>
        <v>0</v>
      </c>
      <c r="DI39" s="18">
        <f t="shared" si="23"/>
        <v>0</v>
      </c>
      <c r="DJ39" s="18">
        <f t="shared" si="23"/>
        <v>0</v>
      </c>
      <c r="DK39" s="18">
        <f t="shared" si="23"/>
        <v>18</v>
      </c>
      <c r="DL39" s="18">
        <f t="shared" si="23"/>
        <v>0</v>
      </c>
      <c r="DM39" s="18">
        <f t="shared" si="23"/>
        <v>0</v>
      </c>
      <c r="DN39" s="18">
        <f t="shared" si="23"/>
        <v>0</v>
      </c>
      <c r="DO39" s="18">
        <f t="shared" si="23"/>
        <v>0</v>
      </c>
      <c r="DP39" s="18">
        <f t="shared" si="23"/>
        <v>0</v>
      </c>
      <c r="DQ39" s="18">
        <f t="shared" si="23"/>
        <v>19</v>
      </c>
      <c r="DR39" s="18">
        <f t="shared" si="23"/>
        <v>0</v>
      </c>
      <c r="DS39" s="18">
        <f t="shared" si="23"/>
        <v>0</v>
      </c>
      <c r="DT39" s="18">
        <f t="shared" si="23"/>
        <v>0</v>
      </c>
      <c r="DU39" s="18">
        <f t="shared" si="23"/>
        <v>0</v>
      </c>
      <c r="DV39" s="18">
        <f t="shared" si="23"/>
        <v>0</v>
      </c>
      <c r="DW39" s="18">
        <f t="shared" si="23"/>
        <v>20</v>
      </c>
      <c r="DX39" s="18">
        <f t="shared" si="23"/>
        <v>0</v>
      </c>
      <c r="DY39" s="18">
        <f t="shared" si="23"/>
        <v>0</v>
      </c>
      <c r="DZ39" s="18">
        <f t="shared" si="23"/>
        <v>0</v>
      </c>
      <c r="EA39" s="18">
        <f t="shared" si="23"/>
        <v>0</v>
      </c>
      <c r="EB39" s="18">
        <f t="shared" si="23"/>
        <v>0</v>
      </c>
      <c r="EC39" s="18">
        <f t="shared" si="23"/>
        <v>0</v>
      </c>
      <c r="ED39" s="18">
        <f t="shared" si="23"/>
        <v>0</v>
      </c>
      <c r="EE39" s="18">
        <f t="shared" si="23"/>
        <v>0</v>
      </c>
      <c r="EF39" s="18">
        <f t="shared" si="23"/>
        <v>0</v>
      </c>
      <c r="EG39" s="18">
        <f t="shared" si="23"/>
        <v>0</v>
      </c>
      <c r="EH39" s="18">
        <f t="shared" si="23"/>
        <v>0</v>
      </c>
      <c r="EI39" s="18">
        <f t="shared" si="23"/>
        <v>0</v>
      </c>
      <c r="EJ39" s="18">
        <f t="shared" si="23"/>
        <v>0</v>
      </c>
      <c r="EK39" s="18">
        <f t="shared" si="23"/>
        <v>0</v>
      </c>
      <c r="EL39" s="18">
        <f t="shared" si="23"/>
        <v>0</v>
      </c>
      <c r="EM39" s="18">
        <f t="shared" si="23"/>
        <v>0</v>
      </c>
      <c r="EN39" s="18">
        <f t="shared" si="23"/>
        <v>0</v>
      </c>
      <c r="EO39" s="18">
        <f t="shared" si="23"/>
        <v>0</v>
      </c>
      <c r="EP39" s="18">
        <f t="shared" si="23"/>
        <v>0</v>
      </c>
      <c r="EQ39" s="18">
        <f t="shared" si="23"/>
        <v>0</v>
      </c>
    </row>
    <row r="40" spans="1:147" ht="15.75" x14ac:dyDescent="0.25">
      <c r="A40" s="380" t="s">
        <v>281</v>
      </c>
      <c r="B40" s="274"/>
      <c r="C40" s="383" t="s">
        <v>45</v>
      </c>
      <c r="D40" s="266">
        <v>2020</v>
      </c>
      <c r="E40" s="267">
        <v>2020</v>
      </c>
      <c r="F40" s="267">
        <v>2020</v>
      </c>
      <c r="G40" s="267">
        <v>2020</v>
      </c>
      <c r="H40" s="267">
        <v>2020</v>
      </c>
      <c r="I40" s="267">
        <v>2020</v>
      </c>
      <c r="J40" s="267">
        <v>2020</v>
      </c>
      <c r="K40" s="267">
        <v>2020</v>
      </c>
      <c r="L40" s="267">
        <v>2020</v>
      </c>
      <c r="M40" s="267">
        <v>2020</v>
      </c>
      <c r="N40" s="267">
        <v>2020</v>
      </c>
      <c r="O40" s="267">
        <v>2020</v>
      </c>
      <c r="P40" s="267">
        <f>O40+1</f>
        <v>2021</v>
      </c>
      <c r="Q40" s="267">
        <f t="shared" ref="Q40:AA40" si="24">P40</f>
        <v>2021</v>
      </c>
      <c r="R40" s="267">
        <f t="shared" si="24"/>
        <v>2021</v>
      </c>
      <c r="S40" s="267">
        <f t="shared" si="24"/>
        <v>2021</v>
      </c>
      <c r="T40" s="267">
        <f t="shared" si="24"/>
        <v>2021</v>
      </c>
      <c r="U40" s="267">
        <f t="shared" si="24"/>
        <v>2021</v>
      </c>
      <c r="V40" s="267">
        <f t="shared" si="24"/>
        <v>2021</v>
      </c>
      <c r="W40" s="267">
        <f t="shared" si="24"/>
        <v>2021</v>
      </c>
      <c r="X40" s="267">
        <f t="shared" si="24"/>
        <v>2021</v>
      </c>
      <c r="Y40" s="267">
        <f t="shared" si="24"/>
        <v>2021</v>
      </c>
      <c r="Z40" s="267">
        <f t="shared" si="24"/>
        <v>2021</v>
      </c>
      <c r="AA40" s="267">
        <f t="shared" si="24"/>
        <v>2021</v>
      </c>
      <c r="AB40" s="267">
        <f>AA40+1</f>
        <v>2022</v>
      </c>
      <c r="AC40" s="267">
        <f t="shared" ref="AC40:AM40" si="25">AB40</f>
        <v>2022</v>
      </c>
      <c r="AD40" s="267">
        <f t="shared" si="25"/>
        <v>2022</v>
      </c>
      <c r="AE40" s="267">
        <f t="shared" si="25"/>
        <v>2022</v>
      </c>
      <c r="AF40" s="267">
        <f t="shared" si="25"/>
        <v>2022</v>
      </c>
      <c r="AG40" s="267">
        <f t="shared" si="25"/>
        <v>2022</v>
      </c>
      <c r="AH40" s="267">
        <f t="shared" si="25"/>
        <v>2022</v>
      </c>
      <c r="AI40" s="267">
        <f t="shared" si="25"/>
        <v>2022</v>
      </c>
      <c r="AJ40" s="267">
        <f t="shared" si="25"/>
        <v>2022</v>
      </c>
      <c r="AK40" s="267">
        <f t="shared" si="25"/>
        <v>2022</v>
      </c>
      <c r="AL40" s="267">
        <f t="shared" si="25"/>
        <v>2022</v>
      </c>
      <c r="AM40" s="267">
        <f t="shared" si="25"/>
        <v>2022</v>
      </c>
      <c r="AN40" s="267">
        <f>AM40+1</f>
        <v>2023</v>
      </c>
      <c r="AO40" s="267">
        <f t="shared" ref="AO40:AY40" si="26">AN40</f>
        <v>2023</v>
      </c>
      <c r="AP40" s="267">
        <f t="shared" si="26"/>
        <v>2023</v>
      </c>
      <c r="AQ40" s="267">
        <f t="shared" si="26"/>
        <v>2023</v>
      </c>
      <c r="AR40" s="267">
        <f t="shared" si="26"/>
        <v>2023</v>
      </c>
      <c r="AS40" s="267">
        <f t="shared" si="26"/>
        <v>2023</v>
      </c>
      <c r="AT40" s="267">
        <f t="shared" si="26"/>
        <v>2023</v>
      </c>
      <c r="AU40" s="267">
        <f t="shared" si="26"/>
        <v>2023</v>
      </c>
      <c r="AV40" s="267">
        <f t="shared" si="26"/>
        <v>2023</v>
      </c>
      <c r="AW40" s="267">
        <f t="shared" si="26"/>
        <v>2023</v>
      </c>
      <c r="AX40" s="267">
        <f t="shared" si="26"/>
        <v>2023</v>
      </c>
      <c r="AY40" s="267">
        <f t="shared" si="26"/>
        <v>2023</v>
      </c>
      <c r="AZ40" s="267">
        <f>AY40+1</f>
        <v>2024</v>
      </c>
      <c r="BA40" s="267">
        <f t="shared" ref="BA40:BK40" si="27">AZ40</f>
        <v>2024</v>
      </c>
      <c r="BB40" s="267">
        <f t="shared" si="27"/>
        <v>2024</v>
      </c>
      <c r="BC40" s="267">
        <f t="shared" si="27"/>
        <v>2024</v>
      </c>
      <c r="BD40" s="267">
        <f t="shared" si="27"/>
        <v>2024</v>
      </c>
      <c r="BE40" s="267">
        <f t="shared" si="27"/>
        <v>2024</v>
      </c>
      <c r="BF40" s="267">
        <f t="shared" si="27"/>
        <v>2024</v>
      </c>
      <c r="BG40" s="267">
        <f t="shared" si="27"/>
        <v>2024</v>
      </c>
      <c r="BH40" s="267">
        <f t="shared" si="27"/>
        <v>2024</v>
      </c>
      <c r="BI40" s="267">
        <f t="shared" si="27"/>
        <v>2024</v>
      </c>
      <c r="BJ40" s="267">
        <f t="shared" si="27"/>
        <v>2024</v>
      </c>
      <c r="BK40" s="267">
        <f t="shared" si="27"/>
        <v>2024</v>
      </c>
      <c r="BL40" s="267">
        <f>BK40+1</f>
        <v>2025</v>
      </c>
      <c r="BM40" s="267">
        <f t="shared" ref="BM40:BW40" si="28">BL40</f>
        <v>2025</v>
      </c>
      <c r="BN40" s="267">
        <f t="shared" si="28"/>
        <v>2025</v>
      </c>
      <c r="BO40" s="267">
        <f t="shared" si="28"/>
        <v>2025</v>
      </c>
      <c r="BP40" s="267">
        <f t="shared" si="28"/>
        <v>2025</v>
      </c>
      <c r="BQ40" s="267">
        <f t="shared" si="28"/>
        <v>2025</v>
      </c>
      <c r="BR40" s="267">
        <f t="shared" si="28"/>
        <v>2025</v>
      </c>
      <c r="BS40" s="267">
        <f t="shared" si="28"/>
        <v>2025</v>
      </c>
      <c r="BT40" s="267">
        <f t="shared" si="28"/>
        <v>2025</v>
      </c>
      <c r="BU40" s="267">
        <f t="shared" si="28"/>
        <v>2025</v>
      </c>
      <c r="BV40" s="267">
        <f t="shared" si="28"/>
        <v>2025</v>
      </c>
      <c r="BW40" s="267">
        <f t="shared" si="28"/>
        <v>2025</v>
      </c>
      <c r="BX40" s="267">
        <f>BW40+1</f>
        <v>2026</v>
      </c>
      <c r="BY40" s="267">
        <f t="shared" ref="BY40:CI40" si="29">BX40</f>
        <v>2026</v>
      </c>
      <c r="BZ40" s="267">
        <f t="shared" si="29"/>
        <v>2026</v>
      </c>
      <c r="CA40" s="267">
        <f t="shared" si="29"/>
        <v>2026</v>
      </c>
      <c r="CB40" s="267">
        <f t="shared" si="29"/>
        <v>2026</v>
      </c>
      <c r="CC40" s="267">
        <f t="shared" si="29"/>
        <v>2026</v>
      </c>
      <c r="CD40" s="267">
        <f t="shared" si="29"/>
        <v>2026</v>
      </c>
      <c r="CE40" s="267">
        <f t="shared" si="29"/>
        <v>2026</v>
      </c>
      <c r="CF40" s="267">
        <f t="shared" si="29"/>
        <v>2026</v>
      </c>
      <c r="CG40" s="267">
        <f t="shared" si="29"/>
        <v>2026</v>
      </c>
      <c r="CH40" s="267">
        <f t="shared" si="29"/>
        <v>2026</v>
      </c>
      <c r="CI40" s="267">
        <f t="shared" si="29"/>
        <v>2026</v>
      </c>
      <c r="CJ40" s="267">
        <f>CI40+1</f>
        <v>2027</v>
      </c>
      <c r="CK40" s="267">
        <f t="shared" ref="CK40:CU40" si="30">CJ40</f>
        <v>2027</v>
      </c>
      <c r="CL40" s="267">
        <f t="shared" si="30"/>
        <v>2027</v>
      </c>
      <c r="CM40" s="267">
        <f t="shared" si="30"/>
        <v>2027</v>
      </c>
      <c r="CN40" s="267">
        <f t="shared" si="30"/>
        <v>2027</v>
      </c>
      <c r="CO40" s="267">
        <f t="shared" si="30"/>
        <v>2027</v>
      </c>
      <c r="CP40" s="267">
        <f t="shared" si="30"/>
        <v>2027</v>
      </c>
      <c r="CQ40" s="267">
        <f t="shared" si="30"/>
        <v>2027</v>
      </c>
      <c r="CR40" s="267">
        <f t="shared" si="30"/>
        <v>2027</v>
      </c>
      <c r="CS40" s="267">
        <f t="shared" si="30"/>
        <v>2027</v>
      </c>
      <c r="CT40" s="267">
        <f t="shared" si="30"/>
        <v>2027</v>
      </c>
      <c r="CU40" s="267">
        <f t="shared" si="30"/>
        <v>2027</v>
      </c>
      <c r="CV40" s="267">
        <f>CU40+1</f>
        <v>2028</v>
      </c>
      <c r="CW40" s="267">
        <f t="shared" ref="CW40:DG40" si="31">CV40</f>
        <v>2028</v>
      </c>
      <c r="CX40" s="267">
        <f t="shared" si="31"/>
        <v>2028</v>
      </c>
      <c r="CY40" s="267">
        <f t="shared" si="31"/>
        <v>2028</v>
      </c>
      <c r="CZ40" s="267">
        <f t="shared" si="31"/>
        <v>2028</v>
      </c>
      <c r="DA40" s="267">
        <f t="shared" si="31"/>
        <v>2028</v>
      </c>
      <c r="DB40" s="267">
        <f t="shared" si="31"/>
        <v>2028</v>
      </c>
      <c r="DC40" s="267">
        <f t="shared" si="31"/>
        <v>2028</v>
      </c>
      <c r="DD40" s="267">
        <f t="shared" si="31"/>
        <v>2028</v>
      </c>
      <c r="DE40" s="267">
        <f t="shared" si="31"/>
        <v>2028</v>
      </c>
      <c r="DF40" s="267">
        <f t="shared" si="31"/>
        <v>2028</v>
      </c>
      <c r="DG40" s="267">
        <f t="shared" si="31"/>
        <v>2028</v>
      </c>
      <c r="DH40" s="267">
        <f>DG40+1</f>
        <v>2029</v>
      </c>
      <c r="DI40" s="267">
        <f t="shared" ref="DI40:DS40" si="32">DH40</f>
        <v>2029</v>
      </c>
      <c r="DJ40" s="267">
        <f t="shared" si="32"/>
        <v>2029</v>
      </c>
      <c r="DK40" s="267">
        <f t="shared" si="32"/>
        <v>2029</v>
      </c>
      <c r="DL40" s="267">
        <f t="shared" si="32"/>
        <v>2029</v>
      </c>
      <c r="DM40" s="267">
        <f t="shared" si="32"/>
        <v>2029</v>
      </c>
      <c r="DN40" s="267">
        <f t="shared" si="32"/>
        <v>2029</v>
      </c>
      <c r="DO40" s="267">
        <f t="shared" si="32"/>
        <v>2029</v>
      </c>
      <c r="DP40" s="267">
        <f t="shared" si="32"/>
        <v>2029</v>
      </c>
      <c r="DQ40" s="267">
        <f t="shared" si="32"/>
        <v>2029</v>
      </c>
      <c r="DR40" s="267">
        <f t="shared" si="32"/>
        <v>2029</v>
      </c>
      <c r="DS40" s="267">
        <f t="shared" si="32"/>
        <v>2029</v>
      </c>
      <c r="DT40" s="267">
        <f>DS40+1</f>
        <v>2030</v>
      </c>
      <c r="DU40" s="267">
        <f t="shared" ref="DU40:EE40" si="33">DT40</f>
        <v>2030</v>
      </c>
      <c r="DV40" s="267">
        <f t="shared" si="33"/>
        <v>2030</v>
      </c>
      <c r="DW40" s="267">
        <f t="shared" si="33"/>
        <v>2030</v>
      </c>
      <c r="DX40" s="267">
        <f t="shared" si="33"/>
        <v>2030</v>
      </c>
      <c r="DY40" s="267">
        <f t="shared" si="33"/>
        <v>2030</v>
      </c>
      <c r="DZ40" s="267">
        <f t="shared" si="33"/>
        <v>2030</v>
      </c>
      <c r="EA40" s="267">
        <f t="shared" si="33"/>
        <v>2030</v>
      </c>
      <c r="EB40" s="267">
        <f t="shared" si="33"/>
        <v>2030</v>
      </c>
      <c r="EC40" s="267">
        <f t="shared" si="33"/>
        <v>2030</v>
      </c>
      <c r="ED40" s="267">
        <f t="shared" si="33"/>
        <v>2030</v>
      </c>
      <c r="EE40" s="267">
        <f t="shared" si="33"/>
        <v>2030</v>
      </c>
      <c r="EF40" s="267">
        <f>EE40+1</f>
        <v>2031</v>
      </c>
      <c r="EG40" s="267">
        <f t="shared" ref="EG40:EQ40" si="34">EF40</f>
        <v>2031</v>
      </c>
      <c r="EH40" s="267">
        <f t="shared" si="34"/>
        <v>2031</v>
      </c>
      <c r="EI40" s="267">
        <f t="shared" si="34"/>
        <v>2031</v>
      </c>
      <c r="EJ40" s="267">
        <f t="shared" si="34"/>
        <v>2031</v>
      </c>
      <c r="EK40" s="267">
        <f t="shared" si="34"/>
        <v>2031</v>
      </c>
      <c r="EL40" s="267">
        <f t="shared" si="34"/>
        <v>2031</v>
      </c>
      <c r="EM40" s="267">
        <f t="shared" si="34"/>
        <v>2031</v>
      </c>
      <c r="EN40" s="267">
        <f t="shared" si="34"/>
        <v>2031</v>
      </c>
      <c r="EO40" s="267">
        <f t="shared" si="34"/>
        <v>2031</v>
      </c>
      <c r="EP40" s="267">
        <f t="shared" si="34"/>
        <v>2031</v>
      </c>
      <c r="EQ40" s="268">
        <f t="shared" si="34"/>
        <v>2031</v>
      </c>
    </row>
    <row r="41" spans="1:147" ht="15.75" x14ac:dyDescent="0.25">
      <c r="A41" s="381"/>
      <c r="B41" s="275"/>
      <c r="C41" s="384"/>
      <c r="D41" s="269">
        <f>DATE(D40,1,1)</f>
        <v>43831</v>
      </c>
      <c r="E41" s="270">
        <f>DATE(E40,2,1)</f>
        <v>43862</v>
      </c>
      <c r="F41" s="270">
        <f>DATE(F40,3,1)</f>
        <v>43891</v>
      </c>
      <c r="G41" s="270">
        <f>DATE(G40,4,1)</f>
        <v>43922</v>
      </c>
      <c r="H41" s="270">
        <f>DATE(H40,5,1)</f>
        <v>43952</v>
      </c>
      <c r="I41" s="270">
        <f>DATE(I40,6,1)</f>
        <v>43983</v>
      </c>
      <c r="J41" s="270">
        <f>DATE(J40,7,1)</f>
        <v>44013</v>
      </c>
      <c r="K41" s="270">
        <f>DATE(K40,8,1)</f>
        <v>44044</v>
      </c>
      <c r="L41" s="270">
        <f>DATE(L40,9,1)</f>
        <v>44075</v>
      </c>
      <c r="M41" s="270">
        <f>DATE(M40,10,1)</f>
        <v>44105</v>
      </c>
      <c r="N41" s="270">
        <f>DATE(N40,11,1)</f>
        <v>44136</v>
      </c>
      <c r="O41" s="270">
        <f>DATE(O40,12,1)</f>
        <v>44166</v>
      </c>
      <c r="P41" s="270">
        <f>DATE(P40,1,1)</f>
        <v>44197</v>
      </c>
      <c r="Q41" s="270">
        <f>DATE(Q40,2,1)</f>
        <v>44228</v>
      </c>
      <c r="R41" s="270">
        <f>DATE(R40,3,1)</f>
        <v>44256</v>
      </c>
      <c r="S41" s="270">
        <f>DATE(S40,4,1)</f>
        <v>44287</v>
      </c>
      <c r="T41" s="270">
        <f>DATE(T40,5,1)</f>
        <v>44317</v>
      </c>
      <c r="U41" s="270">
        <f>DATE(U40,6,1)</f>
        <v>44348</v>
      </c>
      <c r="V41" s="270">
        <f>DATE(V40,7,1)</f>
        <v>44378</v>
      </c>
      <c r="W41" s="270">
        <f>DATE(W40,8,1)</f>
        <v>44409</v>
      </c>
      <c r="X41" s="270">
        <f>DATE(X40,9,1)</f>
        <v>44440</v>
      </c>
      <c r="Y41" s="270">
        <f>DATE(Y40,10,1)</f>
        <v>44470</v>
      </c>
      <c r="Z41" s="270">
        <f>DATE(Z40,11,1)</f>
        <v>44501</v>
      </c>
      <c r="AA41" s="270">
        <f>DATE(AA40,12,1)</f>
        <v>44531</v>
      </c>
      <c r="AB41" s="270">
        <f>DATE(AB40,1,1)</f>
        <v>44562</v>
      </c>
      <c r="AC41" s="270">
        <f>DATE(AC40,2,1)</f>
        <v>44593</v>
      </c>
      <c r="AD41" s="270">
        <f>DATE(AD40,3,1)</f>
        <v>44621</v>
      </c>
      <c r="AE41" s="270">
        <f>DATE(AE40,4,1)</f>
        <v>44652</v>
      </c>
      <c r="AF41" s="270">
        <f>DATE(AF40,5,1)</f>
        <v>44682</v>
      </c>
      <c r="AG41" s="270">
        <f>DATE(AG40,6,1)</f>
        <v>44713</v>
      </c>
      <c r="AH41" s="270">
        <f>DATE(AH40,7,1)</f>
        <v>44743</v>
      </c>
      <c r="AI41" s="270">
        <f>DATE(AI40,8,1)</f>
        <v>44774</v>
      </c>
      <c r="AJ41" s="270">
        <f>DATE(AJ40,9,1)</f>
        <v>44805</v>
      </c>
      <c r="AK41" s="270">
        <f>DATE(AK40,10,1)</f>
        <v>44835</v>
      </c>
      <c r="AL41" s="270">
        <f>DATE(AL40,11,1)</f>
        <v>44866</v>
      </c>
      <c r="AM41" s="270">
        <f>DATE(AM40,12,1)</f>
        <v>44896</v>
      </c>
      <c r="AN41" s="270">
        <f>DATE(AN40,1,1)</f>
        <v>44927</v>
      </c>
      <c r="AO41" s="270">
        <f>DATE(AO40,2,1)</f>
        <v>44958</v>
      </c>
      <c r="AP41" s="270">
        <f>DATE(AP40,3,1)</f>
        <v>44986</v>
      </c>
      <c r="AQ41" s="270">
        <f>DATE(AQ40,4,1)</f>
        <v>45017</v>
      </c>
      <c r="AR41" s="270">
        <f>DATE(AR40,5,1)</f>
        <v>45047</v>
      </c>
      <c r="AS41" s="270">
        <f>DATE(AS40,6,1)</f>
        <v>45078</v>
      </c>
      <c r="AT41" s="270">
        <f>DATE(AT40,7,1)</f>
        <v>45108</v>
      </c>
      <c r="AU41" s="270">
        <f>DATE(AU40,8,1)</f>
        <v>45139</v>
      </c>
      <c r="AV41" s="270">
        <f>DATE(AV40,9,1)</f>
        <v>45170</v>
      </c>
      <c r="AW41" s="270">
        <f>DATE(AW40,10,1)</f>
        <v>45200</v>
      </c>
      <c r="AX41" s="270">
        <f>DATE(AX40,11,1)</f>
        <v>45231</v>
      </c>
      <c r="AY41" s="270">
        <f>DATE(AY40,12,1)</f>
        <v>45261</v>
      </c>
      <c r="AZ41" s="270">
        <f>DATE(AZ40,1,1)</f>
        <v>45292</v>
      </c>
      <c r="BA41" s="270">
        <f>DATE(BA40,2,1)</f>
        <v>45323</v>
      </c>
      <c r="BB41" s="270">
        <f>DATE(BB40,3,1)</f>
        <v>45352</v>
      </c>
      <c r="BC41" s="270">
        <f>DATE(BC40,4,1)</f>
        <v>45383</v>
      </c>
      <c r="BD41" s="270">
        <f>DATE(BD40,5,1)</f>
        <v>45413</v>
      </c>
      <c r="BE41" s="270">
        <f>DATE(BE40,6,1)</f>
        <v>45444</v>
      </c>
      <c r="BF41" s="270">
        <f>DATE(BF40,7,1)</f>
        <v>45474</v>
      </c>
      <c r="BG41" s="270">
        <f>DATE(BG40,8,1)</f>
        <v>45505</v>
      </c>
      <c r="BH41" s="270">
        <f>DATE(BH40,9,1)</f>
        <v>45536</v>
      </c>
      <c r="BI41" s="270">
        <f>DATE(BI40,10,1)</f>
        <v>45566</v>
      </c>
      <c r="BJ41" s="270">
        <f>DATE(BJ40,11,1)</f>
        <v>45597</v>
      </c>
      <c r="BK41" s="270">
        <f>DATE(BK40,12,1)</f>
        <v>45627</v>
      </c>
      <c r="BL41" s="270">
        <f>DATE(BL40,1,1)</f>
        <v>45658</v>
      </c>
      <c r="BM41" s="270">
        <f>DATE(BM40,2,1)</f>
        <v>45689</v>
      </c>
      <c r="BN41" s="270">
        <f>DATE(BN40,3,1)</f>
        <v>45717</v>
      </c>
      <c r="BO41" s="270">
        <f>DATE(BO40,4,1)</f>
        <v>45748</v>
      </c>
      <c r="BP41" s="270">
        <f>DATE(BP40,5,1)</f>
        <v>45778</v>
      </c>
      <c r="BQ41" s="270">
        <f>DATE(BQ40,6,1)</f>
        <v>45809</v>
      </c>
      <c r="BR41" s="270">
        <f>DATE(BR40,7,1)</f>
        <v>45839</v>
      </c>
      <c r="BS41" s="270">
        <f>DATE(BS40,8,1)</f>
        <v>45870</v>
      </c>
      <c r="BT41" s="270">
        <f>DATE(BT40,9,1)</f>
        <v>45901</v>
      </c>
      <c r="BU41" s="270">
        <f>DATE(BU40,10,1)</f>
        <v>45931</v>
      </c>
      <c r="BV41" s="270">
        <f>DATE(BV40,11,1)</f>
        <v>45962</v>
      </c>
      <c r="BW41" s="270">
        <f>DATE(BW40,12,1)</f>
        <v>45992</v>
      </c>
      <c r="BX41" s="270">
        <f>DATE(BX40,1,1)</f>
        <v>46023</v>
      </c>
      <c r="BY41" s="270">
        <f>DATE(BY40,2,1)</f>
        <v>46054</v>
      </c>
      <c r="BZ41" s="270">
        <f>DATE(BZ40,3,1)</f>
        <v>46082</v>
      </c>
      <c r="CA41" s="270">
        <f>DATE(CA40,4,1)</f>
        <v>46113</v>
      </c>
      <c r="CB41" s="270">
        <f>DATE(CB40,5,1)</f>
        <v>46143</v>
      </c>
      <c r="CC41" s="270">
        <f>DATE(CC40,6,1)</f>
        <v>46174</v>
      </c>
      <c r="CD41" s="270">
        <f>DATE(CD40,7,1)</f>
        <v>46204</v>
      </c>
      <c r="CE41" s="270">
        <f>DATE(CE40,8,1)</f>
        <v>46235</v>
      </c>
      <c r="CF41" s="270">
        <f>DATE(CF40,9,1)</f>
        <v>46266</v>
      </c>
      <c r="CG41" s="270">
        <f>DATE(CG40,10,1)</f>
        <v>46296</v>
      </c>
      <c r="CH41" s="270">
        <f>DATE(CH40,11,1)</f>
        <v>46327</v>
      </c>
      <c r="CI41" s="270">
        <f>DATE(CI40,12,1)</f>
        <v>46357</v>
      </c>
      <c r="CJ41" s="270">
        <f>DATE(CJ40,1,1)</f>
        <v>46388</v>
      </c>
      <c r="CK41" s="270">
        <f>DATE(CK40,2,1)</f>
        <v>46419</v>
      </c>
      <c r="CL41" s="270">
        <f>DATE(CL40,3,1)</f>
        <v>46447</v>
      </c>
      <c r="CM41" s="270">
        <f>DATE(CM40,4,1)</f>
        <v>46478</v>
      </c>
      <c r="CN41" s="270">
        <f>DATE(CN40,5,1)</f>
        <v>46508</v>
      </c>
      <c r="CO41" s="270">
        <f>DATE(CO40,6,1)</f>
        <v>46539</v>
      </c>
      <c r="CP41" s="270">
        <f>DATE(CP40,7,1)</f>
        <v>46569</v>
      </c>
      <c r="CQ41" s="270">
        <f>DATE(CQ40,8,1)</f>
        <v>46600</v>
      </c>
      <c r="CR41" s="270">
        <f>DATE(CR40,9,1)</f>
        <v>46631</v>
      </c>
      <c r="CS41" s="270">
        <f>DATE(CS40,10,1)</f>
        <v>46661</v>
      </c>
      <c r="CT41" s="270">
        <f>DATE(CT40,11,1)</f>
        <v>46692</v>
      </c>
      <c r="CU41" s="270">
        <f>DATE(CU40,12,1)</f>
        <v>46722</v>
      </c>
      <c r="CV41" s="270">
        <f>DATE(CV40,1,1)</f>
        <v>46753</v>
      </c>
      <c r="CW41" s="270">
        <f>DATE(CW40,2,1)</f>
        <v>46784</v>
      </c>
      <c r="CX41" s="270">
        <f>DATE(CX40,3,1)</f>
        <v>46813</v>
      </c>
      <c r="CY41" s="270">
        <f>DATE(CY40,4,1)</f>
        <v>46844</v>
      </c>
      <c r="CZ41" s="270">
        <f>DATE(CZ40,5,1)</f>
        <v>46874</v>
      </c>
      <c r="DA41" s="270">
        <f>DATE(DA40,6,1)</f>
        <v>46905</v>
      </c>
      <c r="DB41" s="270">
        <f>DATE(DB40,7,1)</f>
        <v>46935</v>
      </c>
      <c r="DC41" s="270">
        <f>DATE(DC40,8,1)</f>
        <v>46966</v>
      </c>
      <c r="DD41" s="270">
        <f>DATE(DD40,9,1)</f>
        <v>46997</v>
      </c>
      <c r="DE41" s="270">
        <f>DATE(DE40,10,1)</f>
        <v>47027</v>
      </c>
      <c r="DF41" s="270">
        <f>DATE(DF40,11,1)</f>
        <v>47058</v>
      </c>
      <c r="DG41" s="270">
        <f>DATE(DG40,12,1)</f>
        <v>47088</v>
      </c>
      <c r="DH41" s="270">
        <f>DATE(DH40,1,1)</f>
        <v>47119</v>
      </c>
      <c r="DI41" s="270">
        <f>DATE(DI40,2,1)</f>
        <v>47150</v>
      </c>
      <c r="DJ41" s="270">
        <f>DATE(DJ40,3,1)</f>
        <v>47178</v>
      </c>
      <c r="DK41" s="270">
        <f>DATE(DK40,4,1)</f>
        <v>47209</v>
      </c>
      <c r="DL41" s="270">
        <f>DATE(DL40,5,1)</f>
        <v>47239</v>
      </c>
      <c r="DM41" s="270">
        <f>DATE(DM40,6,1)</f>
        <v>47270</v>
      </c>
      <c r="DN41" s="270">
        <f>DATE(DN40,7,1)</f>
        <v>47300</v>
      </c>
      <c r="DO41" s="270">
        <f>DATE(DO40,8,1)</f>
        <v>47331</v>
      </c>
      <c r="DP41" s="270">
        <f>DATE(DP40,9,1)</f>
        <v>47362</v>
      </c>
      <c r="DQ41" s="270">
        <f>DATE(DQ40,10,1)</f>
        <v>47392</v>
      </c>
      <c r="DR41" s="270">
        <f>DATE(DR40,11,1)</f>
        <v>47423</v>
      </c>
      <c r="DS41" s="270">
        <f>DATE(DS40,12,1)</f>
        <v>47453</v>
      </c>
      <c r="DT41" s="270">
        <f>DATE(DT40,1,1)</f>
        <v>47484</v>
      </c>
      <c r="DU41" s="270">
        <f>DATE(DU40,2,1)</f>
        <v>47515</v>
      </c>
      <c r="DV41" s="270">
        <f>DATE(DV40,3,1)</f>
        <v>47543</v>
      </c>
      <c r="DW41" s="270">
        <f>DATE(DW40,4,1)</f>
        <v>47574</v>
      </c>
      <c r="DX41" s="270">
        <f>DATE(DX40,5,1)</f>
        <v>47604</v>
      </c>
      <c r="DY41" s="270">
        <f>DATE(DY40,6,1)</f>
        <v>47635</v>
      </c>
      <c r="DZ41" s="270">
        <f>DATE(DZ40,7,1)</f>
        <v>47665</v>
      </c>
      <c r="EA41" s="270">
        <f>DATE(EA40,8,1)</f>
        <v>47696</v>
      </c>
      <c r="EB41" s="270">
        <f>DATE(EB40,9,1)</f>
        <v>47727</v>
      </c>
      <c r="EC41" s="270">
        <f>DATE(EC40,10,1)</f>
        <v>47757</v>
      </c>
      <c r="ED41" s="270">
        <f>DATE(ED40,11,1)</f>
        <v>47788</v>
      </c>
      <c r="EE41" s="270">
        <f>DATE(EE40,12,1)</f>
        <v>47818</v>
      </c>
      <c r="EF41" s="270">
        <f>DATE(EF40,1,1)</f>
        <v>47849</v>
      </c>
      <c r="EG41" s="270">
        <f>DATE(EG40,2,1)</f>
        <v>47880</v>
      </c>
      <c r="EH41" s="270">
        <f>DATE(EH40,3,1)</f>
        <v>47908</v>
      </c>
      <c r="EI41" s="270">
        <f>DATE(EI40,4,1)</f>
        <v>47939</v>
      </c>
      <c r="EJ41" s="270">
        <f>DATE(EJ40,5,1)</f>
        <v>47969</v>
      </c>
      <c r="EK41" s="270">
        <f>DATE(EK40,6,1)</f>
        <v>48000</v>
      </c>
      <c r="EL41" s="270">
        <f>DATE(EL40,7,1)</f>
        <v>48030</v>
      </c>
      <c r="EM41" s="270">
        <f>DATE(EM40,8,1)</f>
        <v>48061</v>
      </c>
      <c r="EN41" s="270">
        <f>DATE(EN40,9,1)</f>
        <v>48092</v>
      </c>
      <c r="EO41" s="270">
        <f>DATE(EO40,10,1)</f>
        <v>48122</v>
      </c>
      <c r="EP41" s="270">
        <f>DATE(EP40,11,1)</f>
        <v>48153</v>
      </c>
      <c r="EQ41" s="271">
        <f>DATE(EQ40,12,1)</f>
        <v>48183</v>
      </c>
    </row>
    <row r="42" spans="1:147" ht="15.75" x14ac:dyDescent="0.25">
      <c r="A42" s="382"/>
      <c r="B42" s="276"/>
      <c r="C42" s="385"/>
      <c r="D42" s="272">
        <f>DATE(D40,1,31)</f>
        <v>43861</v>
      </c>
      <c r="E42" s="272">
        <f>DATE(E40,2,29)</f>
        <v>43890</v>
      </c>
      <c r="F42" s="272">
        <f>DATE(F40,3,31)</f>
        <v>43921</v>
      </c>
      <c r="G42" s="272">
        <f>DATE(G40,4,30)</f>
        <v>43951</v>
      </c>
      <c r="H42" s="272">
        <f>DATE(H40,5,31)</f>
        <v>43982</v>
      </c>
      <c r="I42" s="272">
        <f>DATE(I40,6,30)</f>
        <v>44012</v>
      </c>
      <c r="J42" s="272">
        <f>DATE(J40,7,31)</f>
        <v>44043</v>
      </c>
      <c r="K42" s="272">
        <f>DATE(K40,8,31)</f>
        <v>44074</v>
      </c>
      <c r="L42" s="272">
        <f>DATE(L40,9,30)</f>
        <v>44104</v>
      </c>
      <c r="M42" s="272">
        <f>DATE(M40,10,31)</f>
        <v>44135</v>
      </c>
      <c r="N42" s="272">
        <f>DATE(N40,11,30)</f>
        <v>44165</v>
      </c>
      <c r="O42" s="272">
        <f>DATE(O40,12,31)</f>
        <v>44196</v>
      </c>
      <c r="P42" s="272">
        <f>DATE(P40,1,31)</f>
        <v>44227</v>
      </c>
      <c r="Q42" s="272">
        <f>DATE(Q40,2,28)</f>
        <v>44255</v>
      </c>
      <c r="R42" s="272">
        <f>DATE(R40,3,31)</f>
        <v>44286</v>
      </c>
      <c r="S42" s="272">
        <f>DATE(S40,4,30)</f>
        <v>44316</v>
      </c>
      <c r="T42" s="272">
        <f>DATE(T40,5,31)</f>
        <v>44347</v>
      </c>
      <c r="U42" s="272">
        <f>DATE(U40,6,30)</f>
        <v>44377</v>
      </c>
      <c r="V42" s="272">
        <f>DATE(V40,7,31)</f>
        <v>44408</v>
      </c>
      <c r="W42" s="272">
        <f>DATE(W40,8,31)</f>
        <v>44439</v>
      </c>
      <c r="X42" s="272">
        <f>DATE(X40,9,30)</f>
        <v>44469</v>
      </c>
      <c r="Y42" s="272">
        <f>DATE(Y40,10,31)</f>
        <v>44500</v>
      </c>
      <c r="Z42" s="272">
        <f>DATE(Z40,11,30)</f>
        <v>44530</v>
      </c>
      <c r="AA42" s="272">
        <f>DATE(AA40,12,31)</f>
        <v>44561</v>
      </c>
      <c r="AB42" s="272">
        <f>DATE(AB40,1,31)</f>
        <v>44592</v>
      </c>
      <c r="AC42" s="272">
        <f>DATE(AC40,2,28)</f>
        <v>44620</v>
      </c>
      <c r="AD42" s="272">
        <f>DATE(AD40,3,31)</f>
        <v>44651</v>
      </c>
      <c r="AE42" s="272">
        <f>DATE(AE40,4,30)</f>
        <v>44681</v>
      </c>
      <c r="AF42" s="272">
        <f>DATE(AF40,5,31)</f>
        <v>44712</v>
      </c>
      <c r="AG42" s="272">
        <f>DATE(AG40,6,30)</f>
        <v>44742</v>
      </c>
      <c r="AH42" s="272">
        <f>DATE(AH40,7,31)</f>
        <v>44773</v>
      </c>
      <c r="AI42" s="272">
        <f>DATE(AI40,8,31)</f>
        <v>44804</v>
      </c>
      <c r="AJ42" s="272">
        <f>DATE(AJ40,9,30)</f>
        <v>44834</v>
      </c>
      <c r="AK42" s="272">
        <f>DATE(AK40,10,31)</f>
        <v>44865</v>
      </c>
      <c r="AL42" s="272">
        <f>DATE(AL40,11,30)</f>
        <v>44895</v>
      </c>
      <c r="AM42" s="272">
        <f>DATE(AM40,12,31)</f>
        <v>44926</v>
      </c>
      <c r="AN42" s="272">
        <f>DATE(AN40,1,31)</f>
        <v>44957</v>
      </c>
      <c r="AO42" s="272">
        <f>DATE(AO40,2,28)</f>
        <v>44985</v>
      </c>
      <c r="AP42" s="272">
        <f>DATE(AP40,3,31)</f>
        <v>45016</v>
      </c>
      <c r="AQ42" s="272">
        <f>DATE(AQ40,4,30)</f>
        <v>45046</v>
      </c>
      <c r="AR42" s="272">
        <f>DATE(AR40,5,31)</f>
        <v>45077</v>
      </c>
      <c r="AS42" s="272">
        <f>DATE(AS40,6,30)</f>
        <v>45107</v>
      </c>
      <c r="AT42" s="272">
        <f>DATE(AT40,7,31)</f>
        <v>45138</v>
      </c>
      <c r="AU42" s="272">
        <f>DATE(AU40,8,31)</f>
        <v>45169</v>
      </c>
      <c r="AV42" s="272">
        <f>DATE(AV40,9,30)</f>
        <v>45199</v>
      </c>
      <c r="AW42" s="272">
        <f>DATE(AW40,10,31)</f>
        <v>45230</v>
      </c>
      <c r="AX42" s="272">
        <f>DATE(AX40,11,30)</f>
        <v>45260</v>
      </c>
      <c r="AY42" s="272">
        <f>DATE(AY40,12,31)</f>
        <v>45291</v>
      </c>
      <c r="AZ42" s="272">
        <f>DATE(AZ40,1,31)</f>
        <v>45322</v>
      </c>
      <c r="BA42" s="272">
        <f>DATE(BA40,2,29)</f>
        <v>45351</v>
      </c>
      <c r="BB42" s="272">
        <f>DATE(BB40,3,31)</f>
        <v>45382</v>
      </c>
      <c r="BC42" s="272">
        <f>DATE(BC40,4,30)</f>
        <v>45412</v>
      </c>
      <c r="BD42" s="272">
        <f>DATE(BD40,5,31)</f>
        <v>45443</v>
      </c>
      <c r="BE42" s="272">
        <f>DATE(BE40,6,30)</f>
        <v>45473</v>
      </c>
      <c r="BF42" s="272">
        <f>DATE(BF40,7,31)</f>
        <v>45504</v>
      </c>
      <c r="BG42" s="272">
        <f>DATE(BG40,8,31)</f>
        <v>45535</v>
      </c>
      <c r="BH42" s="272">
        <f>DATE(BH40,9,30)</f>
        <v>45565</v>
      </c>
      <c r="BI42" s="272">
        <f>DATE(BI40,10,31)</f>
        <v>45596</v>
      </c>
      <c r="BJ42" s="272">
        <f>DATE(BJ40,11,30)</f>
        <v>45626</v>
      </c>
      <c r="BK42" s="272">
        <f>DATE(BK40,12,31)</f>
        <v>45657</v>
      </c>
      <c r="BL42" s="272">
        <f>DATE(BL40,1,31)</f>
        <v>45688</v>
      </c>
      <c r="BM42" s="272">
        <f>DATE(BM40,2,28)</f>
        <v>45716</v>
      </c>
      <c r="BN42" s="272">
        <f>DATE(BN40,3,31)</f>
        <v>45747</v>
      </c>
      <c r="BO42" s="272">
        <f>DATE(BO40,4,30)</f>
        <v>45777</v>
      </c>
      <c r="BP42" s="272">
        <f>DATE(BP40,5,31)</f>
        <v>45808</v>
      </c>
      <c r="BQ42" s="272">
        <f>DATE(BQ40,6,30)</f>
        <v>45838</v>
      </c>
      <c r="BR42" s="272">
        <f>DATE(BR40,7,31)</f>
        <v>45869</v>
      </c>
      <c r="BS42" s="272">
        <f>DATE(BS40,8,31)</f>
        <v>45900</v>
      </c>
      <c r="BT42" s="272">
        <f>DATE(BT40,9,30)</f>
        <v>45930</v>
      </c>
      <c r="BU42" s="272">
        <f>DATE(BU40,10,31)</f>
        <v>45961</v>
      </c>
      <c r="BV42" s="272">
        <f>DATE(BV40,11,30)</f>
        <v>45991</v>
      </c>
      <c r="BW42" s="272">
        <f>DATE(BW40,12,31)</f>
        <v>46022</v>
      </c>
      <c r="BX42" s="272">
        <f>DATE(BX40,1,31)</f>
        <v>46053</v>
      </c>
      <c r="BY42" s="272">
        <f>DATE(BY40,2,28)</f>
        <v>46081</v>
      </c>
      <c r="BZ42" s="272">
        <f>DATE(BZ40,3,31)</f>
        <v>46112</v>
      </c>
      <c r="CA42" s="272">
        <f>DATE(CA40,4,30)</f>
        <v>46142</v>
      </c>
      <c r="CB42" s="272">
        <f>DATE(CB40,5,31)</f>
        <v>46173</v>
      </c>
      <c r="CC42" s="272">
        <f>DATE(CC40,6,30)</f>
        <v>46203</v>
      </c>
      <c r="CD42" s="272">
        <f>DATE(CD40,7,31)</f>
        <v>46234</v>
      </c>
      <c r="CE42" s="272">
        <f>DATE(CE40,8,31)</f>
        <v>46265</v>
      </c>
      <c r="CF42" s="272">
        <f>DATE(CF40,9,30)</f>
        <v>46295</v>
      </c>
      <c r="CG42" s="272">
        <f>DATE(CG40,10,31)</f>
        <v>46326</v>
      </c>
      <c r="CH42" s="272">
        <f>DATE(CH40,11,30)</f>
        <v>46356</v>
      </c>
      <c r="CI42" s="272">
        <f>DATE(CI40,12,31)</f>
        <v>46387</v>
      </c>
      <c r="CJ42" s="272">
        <f>DATE(CJ40,1,31)</f>
        <v>46418</v>
      </c>
      <c r="CK42" s="272">
        <f>DATE(CK40,2,28)</f>
        <v>46446</v>
      </c>
      <c r="CL42" s="272">
        <f>DATE(CL40,3,31)</f>
        <v>46477</v>
      </c>
      <c r="CM42" s="272">
        <f>DATE(CM40,4,30)</f>
        <v>46507</v>
      </c>
      <c r="CN42" s="272">
        <f>DATE(CN40,5,31)</f>
        <v>46538</v>
      </c>
      <c r="CO42" s="272">
        <f>DATE(CO40,6,30)</f>
        <v>46568</v>
      </c>
      <c r="CP42" s="272">
        <f>DATE(CP40,7,31)</f>
        <v>46599</v>
      </c>
      <c r="CQ42" s="272">
        <f>DATE(CQ40,8,31)</f>
        <v>46630</v>
      </c>
      <c r="CR42" s="272">
        <f>DATE(CR40,9,30)</f>
        <v>46660</v>
      </c>
      <c r="CS42" s="272">
        <f>DATE(CS40,10,31)</f>
        <v>46691</v>
      </c>
      <c r="CT42" s="272">
        <f>DATE(CT40,11,30)</f>
        <v>46721</v>
      </c>
      <c r="CU42" s="272">
        <f>DATE(CU40,12,31)</f>
        <v>46752</v>
      </c>
      <c r="CV42" s="272">
        <f>DATE(CV40,1,31)</f>
        <v>46783</v>
      </c>
      <c r="CW42" s="272">
        <f>DATE(CW40,2,29)</f>
        <v>46812</v>
      </c>
      <c r="CX42" s="272">
        <f>DATE(CX40,3,31)</f>
        <v>46843</v>
      </c>
      <c r="CY42" s="272">
        <f>DATE(CY40,4,30)</f>
        <v>46873</v>
      </c>
      <c r="CZ42" s="272">
        <f>DATE(CZ40,5,31)</f>
        <v>46904</v>
      </c>
      <c r="DA42" s="272">
        <f>DATE(DA40,6,30)</f>
        <v>46934</v>
      </c>
      <c r="DB42" s="272">
        <f>DATE(DB40,7,31)</f>
        <v>46965</v>
      </c>
      <c r="DC42" s="272">
        <f>DATE(DC40,8,31)</f>
        <v>46996</v>
      </c>
      <c r="DD42" s="272">
        <f>DATE(DD40,9,30)</f>
        <v>47026</v>
      </c>
      <c r="DE42" s="272">
        <f>DATE(DE40,10,31)</f>
        <v>47057</v>
      </c>
      <c r="DF42" s="272">
        <f>DATE(DF40,11,30)</f>
        <v>47087</v>
      </c>
      <c r="DG42" s="272">
        <f>DATE(DG40,12,31)</f>
        <v>47118</v>
      </c>
      <c r="DH42" s="272">
        <f>DATE(DH40,1,31)</f>
        <v>47149</v>
      </c>
      <c r="DI42" s="272">
        <f>DATE(DI40,2,28)</f>
        <v>47177</v>
      </c>
      <c r="DJ42" s="272">
        <f>DATE(DJ40,3,31)</f>
        <v>47208</v>
      </c>
      <c r="DK42" s="272">
        <f>DATE(DK40,4,30)</f>
        <v>47238</v>
      </c>
      <c r="DL42" s="272">
        <f>DATE(DL40,5,31)</f>
        <v>47269</v>
      </c>
      <c r="DM42" s="272">
        <f>DATE(DM40,6,30)</f>
        <v>47299</v>
      </c>
      <c r="DN42" s="272">
        <f>DATE(DN40,7,31)</f>
        <v>47330</v>
      </c>
      <c r="DO42" s="272">
        <f>DATE(DO40,8,31)</f>
        <v>47361</v>
      </c>
      <c r="DP42" s="272">
        <f>DATE(DP40,9,30)</f>
        <v>47391</v>
      </c>
      <c r="DQ42" s="272">
        <f>DATE(DQ40,10,31)</f>
        <v>47422</v>
      </c>
      <c r="DR42" s="272">
        <f>DATE(DR40,11,30)</f>
        <v>47452</v>
      </c>
      <c r="DS42" s="272">
        <f>DATE(DS40,12,31)</f>
        <v>47483</v>
      </c>
      <c r="DT42" s="272">
        <f>DATE(DT40,1,31)</f>
        <v>47514</v>
      </c>
      <c r="DU42" s="272">
        <f>DATE(DU40,2,28)</f>
        <v>47542</v>
      </c>
      <c r="DV42" s="272">
        <f>DATE(DV40,3,31)</f>
        <v>47573</v>
      </c>
      <c r="DW42" s="272">
        <f>DATE(DW40,4,30)</f>
        <v>47603</v>
      </c>
      <c r="DX42" s="272">
        <f>DATE(DX40,5,31)</f>
        <v>47634</v>
      </c>
      <c r="DY42" s="272">
        <f>DATE(DY40,6,30)</f>
        <v>47664</v>
      </c>
      <c r="DZ42" s="272">
        <f>DATE(DZ40,7,31)</f>
        <v>47695</v>
      </c>
      <c r="EA42" s="272">
        <f>DATE(EA40,8,31)</f>
        <v>47726</v>
      </c>
      <c r="EB42" s="272">
        <f>DATE(EB40,9,30)</f>
        <v>47756</v>
      </c>
      <c r="EC42" s="272">
        <f>DATE(EC40,10,31)</f>
        <v>47787</v>
      </c>
      <c r="ED42" s="272">
        <f>DATE(ED40,11,30)</f>
        <v>47817</v>
      </c>
      <c r="EE42" s="272">
        <f>DATE(EE40,12,31)</f>
        <v>47848</v>
      </c>
      <c r="EF42" s="272">
        <f>DATE(EF40,1,31)</f>
        <v>47879</v>
      </c>
      <c r="EG42" s="272">
        <f>DATE(EG40,2,28)</f>
        <v>47907</v>
      </c>
      <c r="EH42" s="272">
        <f>DATE(EH40,3,31)</f>
        <v>47938</v>
      </c>
      <c r="EI42" s="272">
        <f>DATE(EI40,4,30)</f>
        <v>47968</v>
      </c>
      <c r="EJ42" s="272">
        <f>DATE(EJ40,5,31)</f>
        <v>47999</v>
      </c>
      <c r="EK42" s="272">
        <f>DATE(EK40,6,30)</f>
        <v>48029</v>
      </c>
      <c r="EL42" s="272">
        <f>DATE(EL40,7,31)</f>
        <v>48060</v>
      </c>
      <c r="EM42" s="272">
        <f>DATE(EM40,8,31)</f>
        <v>48091</v>
      </c>
      <c r="EN42" s="272">
        <f>DATE(EN40,9,30)</f>
        <v>48121</v>
      </c>
      <c r="EO42" s="272">
        <f>DATE(EO40,10,31)</f>
        <v>48152</v>
      </c>
      <c r="EP42" s="272">
        <f>DATE(EP40,11,30)</f>
        <v>48182</v>
      </c>
      <c r="EQ42" s="273">
        <f>DATE(EQ40,12,31)</f>
        <v>48213</v>
      </c>
    </row>
    <row r="43" spans="1:147" x14ac:dyDescent="0.25">
      <c r="A43" s="218" t="s">
        <v>353</v>
      </c>
      <c r="B43" s="219"/>
      <c r="C43" s="221">
        <f>SUM(D43:EQ43)</f>
        <v>2589200.4927319563</v>
      </c>
      <c r="D43" s="221">
        <f t="shared" ref="D43:BA43" si="35">IF(AND(D39&gt;0,OR(J39&gt;1,J39=0),D42&gt;=DATE(YEAR($B$41)+1,MONTH($B$41),DAY($B$41))),PPMT($C36,D39,$C30,-$C28),0)</f>
        <v>0</v>
      </c>
      <c r="E43" s="221">
        <f t="shared" si="35"/>
        <v>0</v>
      </c>
      <c r="F43" s="221">
        <f t="shared" si="35"/>
        <v>0</v>
      </c>
      <c r="G43" s="221">
        <f t="shared" si="35"/>
        <v>0</v>
      </c>
      <c r="H43" s="221">
        <f t="shared" si="35"/>
        <v>0</v>
      </c>
      <c r="I43" s="221">
        <f t="shared" si="35"/>
        <v>0</v>
      </c>
      <c r="J43" s="221">
        <f t="shared" si="35"/>
        <v>0</v>
      </c>
      <c r="K43" s="221">
        <f t="shared" si="35"/>
        <v>0</v>
      </c>
      <c r="L43" s="221">
        <f t="shared" si="35"/>
        <v>0</v>
      </c>
      <c r="M43" s="221">
        <f t="shared" si="35"/>
        <v>83375.173043437491</v>
      </c>
      <c r="N43" s="221">
        <f t="shared" si="35"/>
        <v>0</v>
      </c>
      <c r="O43" s="221">
        <f t="shared" si="35"/>
        <v>0</v>
      </c>
      <c r="P43" s="221">
        <f t="shared" si="35"/>
        <v>0</v>
      </c>
      <c r="Q43" s="221">
        <f t="shared" si="35"/>
        <v>0</v>
      </c>
      <c r="R43" s="221">
        <f t="shared" si="35"/>
        <v>0</v>
      </c>
      <c r="S43" s="221">
        <f t="shared" si="35"/>
        <v>87046.236180694395</v>
      </c>
      <c r="T43" s="221">
        <f t="shared" si="35"/>
        <v>0</v>
      </c>
      <c r="U43" s="221">
        <f t="shared" si="35"/>
        <v>0</v>
      </c>
      <c r="V43" s="221">
        <f t="shared" si="35"/>
        <v>0</v>
      </c>
      <c r="W43" s="221">
        <f t="shared" si="35"/>
        <v>0</v>
      </c>
      <c r="X43" s="221">
        <f t="shared" si="35"/>
        <v>0</v>
      </c>
      <c r="Y43" s="221">
        <f t="shared" si="35"/>
        <v>90878.938617346881</v>
      </c>
      <c r="Z43" s="221">
        <f t="shared" si="35"/>
        <v>0</v>
      </c>
      <c r="AA43" s="221">
        <f t="shared" si="35"/>
        <v>0</v>
      </c>
      <c r="AB43" s="221">
        <f t="shared" si="35"/>
        <v>0</v>
      </c>
      <c r="AC43" s="221">
        <f t="shared" si="35"/>
        <v>0</v>
      </c>
      <c r="AD43" s="221">
        <f t="shared" si="35"/>
        <v>0</v>
      </c>
      <c r="AE43" s="221">
        <f t="shared" si="35"/>
        <v>94880.39743695689</v>
      </c>
      <c r="AF43" s="221">
        <f t="shared" si="35"/>
        <v>0</v>
      </c>
      <c r="AG43" s="221">
        <f t="shared" si="35"/>
        <v>0</v>
      </c>
      <c r="AH43" s="221">
        <f t="shared" si="35"/>
        <v>0</v>
      </c>
      <c r="AI43" s="221">
        <f t="shared" si="35"/>
        <v>0</v>
      </c>
      <c r="AJ43" s="221">
        <f t="shared" si="35"/>
        <v>0</v>
      </c>
      <c r="AK43" s="221">
        <f t="shared" si="35"/>
        <v>99058.043092908119</v>
      </c>
      <c r="AL43" s="221">
        <f t="shared" si="35"/>
        <v>0</v>
      </c>
      <c r="AM43" s="221">
        <f t="shared" si="35"/>
        <v>0</v>
      </c>
      <c r="AN43" s="221">
        <f t="shared" si="35"/>
        <v>0</v>
      </c>
      <c r="AO43" s="221">
        <f t="shared" si="35"/>
        <v>0</v>
      </c>
      <c r="AP43" s="221">
        <f t="shared" si="35"/>
        <v>0</v>
      </c>
      <c r="AQ43" s="221">
        <f t="shared" si="35"/>
        <v>103419.63320628305</v>
      </c>
      <c r="AR43" s="221">
        <f t="shared" si="35"/>
        <v>0</v>
      </c>
      <c r="AS43" s="221">
        <f t="shared" si="35"/>
        <v>0</v>
      </c>
      <c r="AT43" s="221">
        <f t="shared" si="35"/>
        <v>0</v>
      </c>
      <c r="AU43" s="221">
        <f t="shared" si="35"/>
        <v>0</v>
      </c>
      <c r="AV43" s="221">
        <f t="shared" si="35"/>
        <v>0</v>
      </c>
      <c r="AW43" s="221">
        <f t="shared" si="35"/>
        <v>107973.26697126984</v>
      </c>
      <c r="AX43" s="221">
        <f t="shared" si="35"/>
        <v>0</v>
      </c>
      <c r="AY43" s="221">
        <f t="shared" si="35"/>
        <v>0</v>
      </c>
      <c r="AZ43" s="221">
        <f t="shared" si="35"/>
        <v>0</v>
      </c>
      <c r="BA43" s="221">
        <f t="shared" si="35"/>
        <v>0</v>
      </c>
      <c r="BB43" s="221">
        <f>IF(AND(BB39&gt;0,OR(BH39&gt;1,BH39=0),BB42&gt;=DATE(YEAR($B$41)+1,MONTH($B$41),DAY($B$41))),PPMT($C36,BB39,$C30,-$C28),0)</f>
        <v>0</v>
      </c>
      <c r="BC43" s="221">
        <f t="shared" ref="BC43:DN43" si="36">IF(AND(BC39&gt;0,OR(BI39&gt;1,BI39=0),BC42&gt;=DATE(YEAR($B$41)+1,MONTH($B$41),DAY($B$41))),PPMT($C36,BC39,$C30,-$C28),0)</f>
        <v>112727.40019484851</v>
      </c>
      <c r="BD43" s="221">
        <f t="shared" si="36"/>
        <v>0</v>
      </c>
      <c r="BE43" s="221">
        <f t="shared" si="36"/>
        <v>0</v>
      </c>
      <c r="BF43" s="221">
        <f t="shared" si="36"/>
        <v>0</v>
      </c>
      <c r="BG43" s="221">
        <f t="shared" si="36"/>
        <v>0</v>
      </c>
      <c r="BH43" s="221">
        <f t="shared" si="36"/>
        <v>0</v>
      </c>
      <c r="BI43" s="221">
        <f t="shared" si="36"/>
        <v>117690.86099868413</v>
      </c>
      <c r="BJ43" s="221">
        <f t="shared" si="36"/>
        <v>0</v>
      </c>
      <c r="BK43" s="221">
        <f t="shared" si="36"/>
        <v>0</v>
      </c>
      <c r="BL43" s="221">
        <f t="shared" si="36"/>
        <v>0</v>
      </c>
      <c r="BM43" s="221">
        <f t="shared" si="36"/>
        <v>0</v>
      </c>
      <c r="BN43" s="221">
        <f t="shared" si="36"/>
        <v>0</v>
      </c>
      <c r="BO43" s="221">
        <f t="shared" si="36"/>
        <v>122872.86621238489</v>
      </c>
      <c r="BP43" s="221">
        <f t="shared" si="36"/>
        <v>0</v>
      </c>
      <c r="BQ43" s="221">
        <f t="shared" si="36"/>
        <v>0</v>
      </c>
      <c r="BR43" s="221">
        <f t="shared" si="36"/>
        <v>0</v>
      </c>
      <c r="BS43" s="221">
        <f t="shared" si="36"/>
        <v>0</v>
      </c>
      <c r="BT43" s="221">
        <f t="shared" si="36"/>
        <v>0</v>
      </c>
      <c r="BU43" s="221">
        <f t="shared" si="36"/>
        <v>128283.03848856571</v>
      </c>
      <c r="BV43" s="221">
        <f t="shared" si="36"/>
        <v>0</v>
      </c>
      <c r="BW43" s="221">
        <f t="shared" si="36"/>
        <v>0</v>
      </c>
      <c r="BX43" s="221">
        <f t="shared" si="36"/>
        <v>0</v>
      </c>
      <c r="BY43" s="221">
        <f t="shared" si="36"/>
        <v>0</v>
      </c>
      <c r="BZ43" s="221">
        <f t="shared" si="36"/>
        <v>0</v>
      </c>
      <c r="CA43" s="221">
        <f t="shared" si="36"/>
        <v>133931.42417149953</v>
      </c>
      <c r="CB43" s="221">
        <f t="shared" si="36"/>
        <v>0</v>
      </c>
      <c r="CC43" s="221">
        <f t="shared" si="36"/>
        <v>0</v>
      </c>
      <c r="CD43" s="221">
        <f t="shared" si="36"/>
        <v>0</v>
      </c>
      <c r="CE43" s="221">
        <f t="shared" si="36"/>
        <v>0</v>
      </c>
      <c r="CF43" s="221">
        <f t="shared" si="36"/>
        <v>0</v>
      </c>
      <c r="CG43" s="221">
        <f t="shared" si="36"/>
        <v>139828.51195253665</v>
      </c>
      <c r="CH43" s="221">
        <f t="shared" si="36"/>
        <v>0</v>
      </c>
      <c r="CI43" s="221">
        <f t="shared" si="36"/>
        <v>0</v>
      </c>
      <c r="CJ43" s="221">
        <f t="shared" si="36"/>
        <v>0</v>
      </c>
      <c r="CK43" s="221">
        <f t="shared" si="36"/>
        <v>0</v>
      </c>
      <c r="CL43" s="221">
        <f t="shared" si="36"/>
        <v>0</v>
      </c>
      <c r="CM43" s="221">
        <f t="shared" si="36"/>
        <v>145985.25234693455</v>
      </c>
      <c r="CN43" s="221">
        <f t="shared" si="36"/>
        <v>0</v>
      </c>
      <c r="CO43" s="221">
        <f t="shared" si="36"/>
        <v>0</v>
      </c>
      <c r="CP43" s="221">
        <f t="shared" si="36"/>
        <v>0</v>
      </c>
      <c r="CQ43" s="221">
        <f t="shared" si="36"/>
        <v>0</v>
      </c>
      <c r="CR43" s="221">
        <f t="shared" si="36"/>
        <v>0</v>
      </c>
      <c r="CS43" s="221">
        <f t="shared" si="36"/>
        <v>152413.07802826498</v>
      </c>
      <c r="CT43" s="221">
        <f t="shared" si="36"/>
        <v>0</v>
      </c>
      <c r="CU43" s="221">
        <f t="shared" si="36"/>
        <v>0</v>
      </c>
      <c r="CV43" s="221">
        <f t="shared" si="36"/>
        <v>0</v>
      </c>
      <c r="CW43" s="221">
        <f t="shared" si="36"/>
        <v>0</v>
      </c>
      <c r="CX43" s="221">
        <f t="shared" si="36"/>
        <v>0</v>
      </c>
      <c r="CY43" s="221">
        <f t="shared" si="36"/>
        <v>159123.92505815864</v>
      </c>
      <c r="CZ43" s="221">
        <f t="shared" si="36"/>
        <v>0</v>
      </c>
      <c r="DA43" s="221">
        <f t="shared" si="36"/>
        <v>0</v>
      </c>
      <c r="DB43" s="221">
        <f t="shared" si="36"/>
        <v>0</v>
      </c>
      <c r="DC43" s="221">
        <f t="shared" si="36"/>
        <v>0</v>
      </c>
      <c r="DD43" s="221">
        <f t="shared" si="36"/>
        <v>0</v>
      </c>
      <c r="DE43" s="221">
        <f t="shared" si="36"/>
        <v>166130.25505080883</v>
      </c>
      <c r="DF43" s="221">
        <f t="shared" si="36"/>
        <v>0</v>
      </c>
      <c r="DG43" s="221">
        <f t="shared" si="36"/>
        <v>0</v>
      </c>
      <c r="DH43" s="221">
        <f t="shared" si="36"/>
        <v>0</v>
      </c>
      <c r="DI43" s="221">
        <f t="shared" si="36"/>
        <v>0</v>
      </c>
      <c r="DJ43" s="221">
        <f t="shared" si="36"/>
        <v>0</v>
      </c>
      <c r="DK43" s="221">
        <f t="shared" si="36"/>
        <v>173445.07831339294</v>
      </c>
      <c r="DL43" s="221">
        <f t="shared" si="36"/>
        <v>0</v>
      </c>
      <c r="DM43" s="221">
        <f t="shared" si="36"/>
        <v>0</v>
      </c>
      <c r="DN43" s="221">
        <f t="shared" si="36"/>
        <v>0</v>
      </c>
      <c r="DO43" s="221">
        <f t="shared" ref="DO43:EQ43" si="37">IF(AND(DO39&gt;0,OR(DU39&gt;1,DU39=0),DO42&gt;=DATE(YEAR($B$41)+1,MONTH($B$41),DAY($B$41))),PPMT($C36,DO39,$C30,-$C28),0)</f>
        <v>0</v>
      </c>
      <c r="DP43" s="221">
        <f t="shared" si="37"/>
        <v>0</v>
      </c>
      <c r="DQ43" s="221">
        <f t="shared" si="37"/>
        <v>181081.97800538165</v>
      </c>
      <c r="DR43" s="221">
        <f t="shared" si="37"/>
        <v>0</v>
      </c>
      <c r="DS43" s="221">
        <f t="shared" si="37"/>
        <v>0</v>
      </c>
      <c r="DT43" s="221">
        <f t="shared" si="37"/>
        <v>0</v>
      </c>
      <c r="DU43" s="221">
        <f t="shared" si="37"/>
        <v>0</v>
      </c>
      <c r="DV43" s="221">
        <f t="shared" si="37"/>
        <v>0</v>
      </c>
      <c r="DW43" s="221">
        <f t="shared" si="37"/>
        <v>189055.13536159831</v>
      </c>
      <c r="DX43" s="221">
        <f t="shared" si="37"/>
        <v>0</v>
      </c>
      <c r="DY43" s="221">
        <f t="shared" si="37"/>
        <v>0</v>
      </c>
      <c r="DZ43" s="221">
        <f t="shared" si="37"/>
        <v>0</v>
      </c>
      <c r="EA43" s="221">
        <f t="shared" si="37"/>
        <v>0</v>
      </c>
      <c r="EB43" s="221">
        <f t="shared" si="37"/>
        <v>0</v>
      </c>
      <c r="EC43" s="221">
        <f t="shared" si="37"/>
        <v>0</v>
      </c>
      <c r="ED43" s="221">
        <f t="shared" si="37"/>
        <v>0</v>
      </c>
      <c r="EE43" s="221">
        <f t="shared" si="37"/>
        <v>0</v>
      </c>
      <c r="EF43" s="221">
        <f t="shared" si="37"/>
        <v>0</v>
      </c>
      <c r="EG43" s="221">
        <f t="shared" si="37"/>
        <v>0</v>
      </c>
      <c r="EH43" s="221">
        <f t="shared" si="37"/>
        <v>0</v>
      </c>
      <c r="EI43" s="221">
        <f t="shared" si="37"/>
        <v>0</v>
      </c>
      <c r="EJ43" s="221">
        <f t="shared" si="37"/>
        <v>0</v>
      </c>
      <c r="EK43" s="221">
        <f t="shared" si="37"/>
        <v>0</v>
      </c>
      <c r="EL43" s="221">
        <f t="shared" si="37"/>
        <v>0</v>
      </c>
      <c r="EM43" s="221">
        <f t="shared" si="37"/>
        <v>0</v>
      </c>
      <c r="EN43" s="221">
        <f t="shared" si="37"/>
        <v>0</v>
      </c>
      <c r="EO43" s="221">
        <f t="shared" si="37"/>
        <v>0</v>
      </c>
      <c r="EP43" s="221">
        <f t="shared" si="37"/>
        <v>0</v>
      </c>
      <c r="EQ43" s="222">
        <f t="shared" si="37"/>
        <v>0</v>
      </c>
    </row>
    <row r="44" spans="1:147" x14ac:dyDescent="0.25">
      <c r="A44" s="226" t="s">
        <v>354</v>
      </c>
      <c r="B44" s="227"/>
      <c r="C44" s="228">
        <f>SUM(D44:EQ44)</f>
        <v>1358386.6277853644</v>
      </c>
      <c r="D44" s="228">
        <f t="shared" ref="D44" si="38">IF(D39&gt;0,IPMT($C36,D39,$C30,-$C28),0)</f>
        <v>0</v>
      </c>
      <c r="E44" s="228">
        <f t="shared" ref="E44:BP44" si="39">IF(AND(E39&gt;0,E41&gt;DATE(YEAR($B$41)+1,MONTH($B$41),DAY($B$41))),IPMT($C36,E39,$C30,-$C28),0)+IF(AND(E39&gt;0,E41&lt;DATE(YEAR($B$41)+1,MONTH($B$41),DAY($B$41))),$C28*$C34,0)</f>
        <v>0</v>
      </c>
      <c r="F44" s="228">
        <f t="shared" si="39"/>
        <v>0</v>
      </c>
      <c r="G44" s="228">
        <f t="shared" si="39"/>
        <v>0</v>
      </c>
      <c r="H44" s="228">
        <f t="shared" si="39"/>
        <v>0</v>
      </c>
      <c r="I44" s="228">
        <f t="shared" si="39"/>
        <v>0</v>
      </c>
      <c r="J44" s="228">
        <f t="shared" si="39"/>
        <v>0</v>
      </c>
      <c r="K44" s="228">
        <f t="shared" si="39"/>
        <v>0</v>
      </c>
      <c r="L44" s="228">
        <f t="shared" si="39"/>
        <v>0</v>
      </c>
      <c r="M44" s="228">
        <f t="shared" si="39"/>
        <v>114004.18298242851</v>
      </c>
      <c r="N44" s="228">
        <f t="shared" si="39"/>
        <v>0</v>
      </c>
      <c r="O44" s="228">
        <f t="shared" si="39"/>
        <v>0</v>
      </c>
      <c r="P44" s="228">
        <f t="shared" si="39"/>
        <v>0</v>
      </c>
      <c r="Q44" s="228">
        <f t="shared" si="39"/>
        <v>0</v>
      </c>
      <c r="R44" s="228">
        <f t="shared" si="39"/>
        <v>0</v>
      </c>
      <c r="S44" s="228">
        <f t="shared" si="39"/>
        <v>110333.11984517162</v>
      </c>
      <c r="T44" s="228">
        <f t="shared" si="39"/>
        <v>0</v>
      </c>
      <c r="U44" s="228">
        <f t="shared" si="39"/>
        <v>0</v>
      </c>
      <c r="V44" s="228">
        <f t="shared" si="39"/>
        <v>0</v>
      </c>
      <c r="W44" s="228">
        <f t="shared" si="39"/>
        <v>0</v>
      </c>
      <c r="X44" s="228">
        <f t="shared" si="39"/>
        <v>0</v>
      </c>
      <c r="Y44" s="228">
        <f t="shared" si="39"/>
        <v>106500.41740851913</v>
      </c>
      <c r="Z44" s="228">
        <f t="shared" si="39"/>
        <v>0</v>
      </c>
      <c r="AA44" s="228">
        <f t="shared" si="39"/>
        <v>0</v>
      </c>
      <c r="AB44" s="228">
        <f t="shared" si="39"/>
        <v>0</v>
      </c>
      <c r="AC44" s="228">
        <f t="shared" si="39"/>
        <v>0</v>
      </c>
      <c r="AD44" s="228">
        <f t="shared" si="39"/>
        <v>0</v>
      </c>
      <c r="AE44" s="228">
        <f t="shared" si="39"/>
        <v>102498.9585889091</v>
      </c>
      <c r="AF44" s="228">
        <f t="shared" si="39"/>
        <v>0</v>
      </c>
      <c r="AG44" s="228">
        <f t="shared" si="39"/>
        <v>0</v>
      </c>
      <c r="AH44" s="228">
        <f t="shared" si="39"/>
        <v>0</v>
      </c>
      <c r="AI44" s="228">
        <f t="shared" si="39"/>
        <v>0</v>
      </c>
      <c r="AJ44" s="228">
        <f t="shared" si="39"/>
        <v>0</v>
      </c>
      <c r="AK44" s="228">
        <f t="shared" si="39"/>
        <v>98321.31293295791</v>
      </c>
      <c r="AL44" s="228">
        <f t="shared" si="39"/>
        <v>0</v>
      </c>
      <c r="AM44" s="228">
        <f t="shared" si="39"/>
        <v>0</v>
      </c>
      <c r="AN44" s="228">
        <f t="shared" si="39"/>
        <v>0</v>
      </c>
      <c r="AO44" s="228">
        <f t="shared" si="39"/>
        <v>0</v>
      </c>
      <c r="AP44" s="228">
        <f t="shared" si="39"/>
        <v>0</v>
      </c>
      <c r="AQ44" s="228">
        <f t="shared" si="39"/>
        <v>93959.722819582967</v>
      </c>
      <c r="AR44" s="228">
        <f t="shared" si="39"/>
        <v>0</v>
      </c>
      <c r="AS44" s="228">
        <f t="shared" si="39"/>
        <v>0</v>
      </c>
      <c r="AT44" s="228">
        <f t="shared" si="39"/>
        <v>0</v>
      </c>
      <c r="AU44" s="228">
        <f t="shared" si="39"/>
        <v>0</v>
      </c>
      <c r="AV44" s="228">
        <f t="shared" si="39"/>
        <v>0</v>
      </c>
      <c r="AW44" s="228">
        <f t="shared" si="39"/>
        <v>89406.089054596174</v>
      </c>
      <c r="AX44" s="228">
        <f t="shared" si="39"/>
        <v>0</v>
      </c>
      <c r="AY44" s="228">
        <f t="shared" si="39"/>
        <v>0</v>
      </c>
      <c r="AZ44" s="228">
        <f t="shared" si="39"/>
        <v>0</v>
      </c>
      <c r="BA44" s="228">
        <f t="shared" si="39"/>
        <v>0</v>
      </c>
      <c r="BB44" s="228">
        <f t="shared" si="39"/>
        <v>0</v>
      </c>
      <c r="BC44" s="228">
        <f t="shared" si="39"/>
        <v>84651.955831017505</v>
      </c>
      <c r="BD44" s="228">
        <f t="shared" si="39"/>
        <v>0</v>
      </c>
      <c r="BE44" s="228">
        <f t="shared" si="39"/>
        <v>0</v>
      </c>
      <c r="BF44" s="228">
        <f t="shared" si="39"/>
        <v>0</v>
      </c>
      <c r="BG44" s="228">
        <f t="shared" si="39"/>
        <v>0</v>
      </c>
      <c r="BH44" s="228">
        <f t="shared" si="39"/>
        <v>0</v>
      </c>
      <c r="BI44" s="228">
        <f t="shared" si="39"/>
        <v>79688.495027181882</v>
      </c>
      <c r="BJ44" s="228">
        <f t="shared" si="39"/>
        <v>0</v>
      </c>
      <c r="BK44" s="228">
        <f t="shared" si="39"/>
        <v>0</v>
      </c>
      <c r="BL44" s="228">
        <f t="shared" si="39"/>
        <v>0</v>
      </c>
      <c r="BM44" s="228">
        <f t="shared" si="39"/>
        <v>0</v>
      </c>
      <c r="BN44" s="228">
        <f t="shared" si="39"/>
        <v>0</v>
      </c>
      <c r="BO44" s="228">
        <f t="shared" si="39"/>
        <v>74506.489813481108</v>
      </c>
      <c r="BP44" s="228">
        <f t="shared" si="39"/>
        <v>0</v>
      </c>
      <c r="BQ44" s="228">
        <f t="shared" ref="BQ44:BS44" si="40">IF(AND(BQ39&gt;0,BQ41&gt;DATE(YEAR($B$41)+1,MONTH($B$41),DAY($B$41))),IPMT($C36,BQ39,$C30,-$C28),0)+IF(AND(BQ39&gt;0,BQ41&lt;DATE(YEAR($B$41)+1,MONTH($B$41),DAY($B$41))),$C28*$C34,0)</f>
        <v>0</v>
      </c>
      <c r="BR44" s="228">
        <f t="shared" si="40"/>
        <v>0</v>
      </c>
      <c r="BS44" s="228">
        <f t="shared" si="40"/>
        <v>0</v>
      </c>
      <c r="BT44" s="228">
        <f>IF(AND(BT39&gt;0,BT41&gt;DATE(YEAR($B$41)+1,MONTH($B$41),DAY($B$41))),IPMT($C36,BT39,$C30,-$C28),0)+IF(AND(BT39&gt;0,BT41&lt;DATE(YEAR($B$41)+1,MONTH($B$41),DAY($B$41))),$C28*$C34,0)</f>
        <v>0</v>
      </c>
      <c r="BU44" s="228">
        <f t="shared" ref="BU44:EF44" si="41">IF(AND(BU39&gt;0,BU41&gt;DATE(YEAR($B$41)+1,MONTH($B$41),DAY($B$41))),IPMT($C36,BU39,$C30,-$C28),0)+IF(AND(BU39&gt;0,BU41&lt;DATE(YEAR($B$41)+1,MONTH($B$41),DAY($B$41))),$C28*$C34,0)</f>
        <v>69096.317537300289</v>
      </c>
      <c r="BV44" s="228">
        <f t="shared" si="41"/>
        <v>0</v>
      </c>
      <c r="BW44" s="228">
        <f t="shared" si="41"/>
        <v>0</v>
      </c>
      <c r="BX44" s="228">
        <f t="shared" si="41"/>
        <v>0</v>
      </c>
      <c r="BY44" s="228">
        <f t="shared" si="41"/>
        <v>0</v>
      </c>
      <c r="BZ44" s="228">
        <f t="shared" si="41"/>
        <v>0</v>
      </c>
      <c r="CA44" s="228">
        <f t="shared" si="41"/>
        <v>63447.93185436647</v>
      </c>
      <c r="CB44" s="228">
        <f t="shared" si="41"/>
        <v>0</v>
      </c>
      <c r="CC44" s="228">
        <f t="shared" si="41"/>
        <v>0</v>
      </c>
      <c r="CD44" s="228">
        <f t="shared" si="41"/>
        <v>0</v>
      </c>
      <c r="CE44" s="228">
        <f t="shared" si="41"/>
        <v>0</v>
      </c>
      <c r="CF44" s="228">
        <f t="shared" si="41"/>
        <v>0</v>
      </c>
      <c r="CG44" s="228">
        <f t="shared" si="41"/>
        <v>57550.844073329346</v>
      </c>
      <c r="CH44" s="228">
        <f t="shared" si="41"/>
        <v>0</v>
      </c>
      <c r="CI44" s="228">
        <f t="shared" si="41"/>
        <v>0</v>
      </c>
      <c r="CJ44" s="228">
        <f t="shared" si="41"/>
        <v>0</v>
      </c>
      <c r="CK44" s="228">
        <f t="shared" si="41"/>
        <v>0</v>
      </c>
      <c r="CL44" s="228">
        <f t="shared" si="41"/>
        <v>0</v>
      </c>
      <c r="CM44" s="228">
        <f t="shared" si="41"/>
        <v>51394.103678931504</v>
      </c>
      <c r="CN44" s="228">
        <f t="shared" si="41"/>
        <v>0</v>
      </c>
      <c r="CO44" s="228">
        <f t="shared" si="41"/>
        <v>0</v>
      </c>
      <c r="CP44" s="228">
        <f t="shared" si="41"/>
        <v>0</v>
      </c>
      <c r="CQ44" s="228">
        <f t="shared" si="41"/>
        <v>0</v>
      </c>
      <c r="CR44" s="228">
        <f t="shared" si="41"/>
        <v>0</v>
      </c>
      <c r="CS44" s="228">
        <f t="shared" si="41"/>
        <v>44966.277997601042</v>
      </c>
      <c r="CT44" s="228">
        <f t="shared" si="41"/>
        <v>0</v>
      </c>
      <c r="CU44" s="228">
        <f t="shared" si="41"/>
        <v>0</v>
      </c>
      <c r="CV44" s="228">
        <f t="shared" si="41"/>
        <v>0</v>
      </c>
      <c r="CW44" s="228">
        <f t="shared" si="41"/>
        <v>0</v>
      </c>
      <c r="CX44" s="228">
        <f t="shared" si="41"/>
        <v>0</v>
      </c>
      <c r="CY44" s="228">
        <f t="shared" si="41"/>
        <v>38255.430967707369</v>
      </c>
      <c r="CZ44" s="228">
        <f t="shared" si="41"/>
        <v>0</v>
      </c>
      <c r="DA44" s="228">
        <f t="shared" si="41"/>
        <v>0</v>
      </c>
      <c r="DB44" s="228">
        <f t="shared" si="41"/>
        <v>0</v>
      </c>
      <c r="DC44" s="228">
        <f t="shared" si="41"/>
        <v>0</v>
      </c>
      <c r="DD44" s="228">
        <f t="shared" si="41"/>
        <v>0</v>
      </c>
      <c r="DE44" s="228">
        <f t="shared" si="41"/>
        <v>31249.100975057179</v>
      </c>
      <c r="DF44" s="228">
        <f t="shared" si="41"/>
        <v>0</v>
      </c>
      <c r="DG44" s="228">
        <f t="shared" si="41"/>
        <v>0</v>
      </c>
      <c r="DH44" s="228">
        <f t="shared" si="41"/>
        <v>0</v>
      </c>
      <c r="DI44" s="228">
        <f t="shared" si="41"/>
        <v>0</v>
      </c>
      <c r="DJ44" s="228">
        <f t="shared" si="41"/>
        <v>0</v>
      </c>
      <c r="DK44" s="228">
        <f t="shared" si="41"/>
        <v>23934.277712473078</v>
      </c>
      <c r="DL44" s="228">
        <f t="shared" si="41"/>
        <v>0</v>
      </c>
      <c r="DM44" s="228">
        <f t="shared" si="41"/>
        <v>0</v>
      </c>
      <c r="DN44" s="228">
        <f t="shared" si="41"/>
        <v>0</v>
      </c>
      <c r="DO44" s="228">
        <f t="shared" si="41"/>
        <v>0</v>
      </c>
      <c r="DP44" s="228">
        <f t="shared" si="41"/>
        <v>0</v>
      </c>
      <c r="DQ44" s="228">
        <f t="shared" si="41"/>
        <v>16297.378020484368</v>
      </c>
      <c r="DR44" s="228">
        <f t="shared" si="41"/>
        <v>0</v>
      </c>
      <c r="DS44" s="228">
        <f t="shared" si="41"/>
        <v>0</v>
      </c>
      <c r="DT44" s="228">
        <f t="shared" si="41"/>
        <v>0</v>
      </c>
      <c r="DU44" s="228">
        <f t="shared" si="41"/>
        <v>0</v>
      </c>
      <c r="DV44" s="228">
        <f t="shared" si="41"/>
        <v>0</v>
      </c>
      <c r="DW44" s="228">
        <f t="shared" si="41"/>
        <v>8324.2206642676956</v>
      </c>
      <c r="DX44" s="228">
        <f t="shared" si="41"/>
        <v>0</v>
      </c>
      <c r="DY44" s="228">
        <f t="shared" si="41"/>
        <v>0</v>
      </c>
      <c r="DZ44" s="228">
        <f t="shared" si="41"/>
        <v>0</v>
      </c>
      <c r="EA44" s="228">
        <f t="shared" si="41"/>
        <v>0</v>
      </c>
      <c r="EB44" s="228">
        <f t="shared" si="41"/>
        <v>0</v>
      </c>
      <c r="EC44" s="228">
        <f t="shared" si="41"/>
        <v>0</v>
      </c>
      <c r="ED44" s="228">
        <f t="shared" si="41"/>
        <v>0</v>
      </c>
      <c r="EE44" s="228">
        <f t="shared" si="41"/>
        <v>0</v>
      </c>
      <c r="EF44" s="228">
        <f t="shared" si="41"/>
        <v>0</v>
      </c>
      <c r="EG44" s="228">
        <f t="shared" ref="EG44:EQ44" si="42">IF(AND(EG39&gt;0,EG41&gt;DATE(YEAR($B$41)+1,MONTH($B$41),DAY($B$41))),IPMT($C36,EG39,$C30,-$C28),0)+IF(AND(EG39&gt;0,EG41&lt;DATE(YEAR($B$41)+1,MONTH($B$41),DAY($B$41))),$C28*$C34,0)</f>
        <v>0</v>
      </c>
      <c r="EH44" s="228">
        <f t="shared" si="42"/>
        <v>0</v>
      </c>
      <c r="EI44" s="228">
        <f t="shared" si="42"/>
        <v>0</v>
      </c>
      <c r="EJ44" s="228">
        <f t="shared" si="42"/>
        <v>0</v>
      </c>
      <c r="EK44" s="228">
        <f t="shared" si="42"/>
        <v>0</v>
      </c>
      <c r="EL44" s="228">
        <f t="shared" si="42"/>
        <v>0</v>
      </c>
      <c r="EM44" s="228">
        <f t="shared" si="42"/>
        <v>0</v>
      </c>
      <c r="EN44" s="228">
        <f t="shared" si="42"/>
        <v>0</v>
      </c>
      <c r="EO44" s="228">
        <f t="shared" si="42"/>
        <v>0</v>
      </c>
      <c r="EP44" s="228">
        <f t="shared" si="42"/>
        <v>0</v>
      </c>
      <c r="EQ44" s="229">
        <f t="shared" si="42"/>
        <v>0</v>
      </c>
    </row>
    <row r="45" spans="1:147" x14ac:dyDescent="0.25">
      <c r="A45" s="226" t="s">
        <v>355</v>
      </c>
      <c r="B45" s="227"/>
      <c r="C45" s="228">
        <f>SUM(D45:EQ45)</f>
        <v>12946.002463659781</v>
      </c>
      <c r="D45" s="228">
        <f t="shared" ref="D45:BO45" si="43">IF(D41=$C27,$C28*$C38,0)</f>
        <v>0</v>
      </c>
      <c r="E45" s="228">
        <f t="shared" si="43"/>
        <v>0</v>
      </c>
      <c r="F45" s="228">
        <f t="shared" si="43"/>
        <v>0</v>
      </c>
      <c r="G45" s="228">
        <f t="shared" si="43"/>
        <v>12946.002463659781</v>
      </c>
      <c r="H45" s="228">
        <f t="shared" si="43"/>
        <v>0</v>
      </c>
      <c r="I45" s="228">
        <f t="shared" si="43"/>
        <v>0</v>
      </c>
      <c r="J45" s="228">
        <f t="shared" si="43"/>
        <v>0</v>
      </c>
      <c r="K45" s="228">
        <f t="shared" si="43"/>
        <v>0</v>
      </c>
      <c r="L45" s="228">
        <f t="shared" si="43"/>
        <v>0</v>
      </c>
      <c r="M45" s="228">
        <f t="shared" si="43"/>
        <v>0</v>
      </c>
      <c r="N45" s="228">
        <f t="shared" si="43"/>
        <v>0</v>
      </c>
      <c r="O45" s="228">
        <f t="shared" si="43"/>
        <v>0</v>
      </c>
      <c r="P45" s="228">
        <f t="shared" si="43"/>
        <v>0</v>
      </c>
      <c r="Q45" s="228">
        <f t="shared" si="43"/>
        <v>0</v>
      </c>
      <c r="R45" s="228">
        <f t="shared" si="43"/>
        <v>0</v>
      </c>
      <c r="S45" s="228">
        <f t="shared" si="43"/>
        <v>0</v>
      </c>
      <c r="T45" s="228">
        <f t="shared" si="43"/>
        <v>0</v>
      </c>
      <c r="U45" s="228">
        <f t="shared" si="43"/>
        <v>0</v>
      </c>
      <c r="V45" s="228">
        <f t="shared" si="43"/>
        <v>0</v>
      </c>
      <c r="W45" s="228">
        <f t="shared" si="43"/>
        <v>0</v>
      </c>
      <c r="X45" s="228">
        <f t="shared" si="43"/>
        <v>0</v>
      </c>
      <c r="Y45" s="228">
        <f t="shared" si="43"/>
        <v>0</v>
      </c>
      <c r="Z45" s="228">
        <f t="shared" si="43"/>
        <v>0</v>
      </c>
      <c r="AA45" s="228">
        <f t="shared" si="43"/>
        <v>0</v>
      </c>
      <c r="AB45" s="228">
        <f t="shared" si="43"/>
        <v>0</v>
      </c>
      <c r="AC45" s="228">
        <f t="shared" si="43"/>
        <v>0</v>
      </c>
      <c r="AD45" s="228">
        <f t="shared" si="43"/>
        <v>0</v>
      </c>
      <c r="AE45" s="228">
        <f t="shared" si="43"/>
        <v>0</v>
      </c>
      <c r="AF45" s="228">
        <f t="shared" si="43"/>
        <v>0</v>
      </c>
      <c r="AG45" s="228">
        <f t="shared" si="43"/>
        <v>0</v>
      </c>
      <c r="AH45" s="228">
        <f t="shared" si="43"/>
        <v>0</v>
      </c>
      <c r="AI45" s="228">
        <f t="shared" si="43"/>
        <v>0</v>
      </c>
      <c r="AJ45" s="228">
        <f t="shared" si="43"/>
        <v>0</v>
      </c>
      <c r="AK45" s="228">
        <f t="shared" si="43"/>
        <v>0</v>
      </c>
      <c r="AL45" s="228">
        <f t="shared" si="43"/>
        <v>0</v>
      </c>
      <c r="AM45" s="228">
        <f t="shared" si="43"/>
        <v>0</v>
      </c>
      <c r="AN45" s="228">
        <f t="shared" si="43"/>
        <v>0</v>
      </c>
      <c r="AO45" s="228">
        <f t="shared" si="43"/>
        <v>0</v>
      </c>
      <c r="AP45" s="228">
        <f t="shared" si="43"/>
        <v>0</v>
      </c>
      <c r="AQ45" s="228">
        <f t="shared" si="43"/>
        <v>0</v>
      </c>
      <c r="AR45" s="228">
        <f t="shared" si="43"/>
        <v>0</v>
      </c>
      <c r="AS45" s="228">
        <f t="shared" si="43"/>
        <v>0</v>
      </c>
      <c r="AT45" s="228">
        <f t="shared" si="43"/>
        <v>0</v>
      </c>
      <c r="AU45" s="228">
        <f t="shared" si="43"/>
        <v>0</v>
      </c>
      <c r="AV45" s="228">
        <f t="shared" si="43"/>
        <v>0</v>
      </c>
      <c r="AW45" s="228">
        <f t="shared" si="43"/>
        <v>0</v>
      </c>
      <c r="AX45" s="228">
        <f t="shared" si="43"/>
        <v>0</v>
      </c>
      <c r="AY45" s="228">
        <f t="shared" si="43"/>
        <v>0</v>
      </c>
      <c r="AZ45" s="228">
        <f t="shared" si="43"/>
        <v>0</v>
      </c>
      <c r="BA45" s="228">
        <f t="shared" si="43"/>
        <v>0</v>
      </c>
      <c r="BB45" s="228">
        <f t="shared" si="43"/>
        <v>0</v>
      </c>
      <c r="BC45" s="228">
        <f t="shared" si="43"/>
        <v>0</v>
      </c>
      <c r="BD45" s="228">
        <f t="shared" si="43"/>
        <v>0</v>
      </c>
      <c r="BE45" s="228">
        <f t="shared" si="43"/>
        <v>0</v>
      </c>
      <c r="BF45" s="228">
        <f t="shared" si="43"/>
        <v>0</v>
      </c>
      <c r="BG45" s="228">
        <f t="shared" si="43"/>
        <v>0</v>
      </c>
      <c r="BH45" s="228">
        <f t="shared" si="43"/>
        <v>0</v>
      </c>
      <c r="BI45" s="228">
        <f t="shared" si="43"/>
        <v>0</v>
      </c>
      <c r="BJ45" s="228">
        <f t="shared" si="43"/>
        <v>0</v>
      </c>
      <c r="BK45" s="228">
        <f t="shared" si="43"/>
        <v>0</v>
      </c>
      <c r="BL45" s="228">
        <f t="shared" si="43"/>
        <v>0</v>
      </c>
      <c r="BM45" s="228">
        <f t="shared" si="43"/>
        <v>0</v>
      </c>
      <c r="BN45" s="228">
        <f t="shared" si="43"/>
        <v>0</v>
      </c>
      <c r="BO45" s="228">
        <f t="shared" si="43"/>
        <v>0</v>
      </c>
      <c r="BP45" s="228">
        <f t="shared" ref="BP45:EA45" si="44">IF(BP41=$C27,$C28*$C38,0)</f>
        <v>0</v>
      </c>
      <c r="BQ45" s="228">
        <f t="shared" si="44"/>
        <v>0</v>
      </c>
      <c r="BR45" s="228">
        <f t="shared" si="44"/>
        <v>0</v>
      </c>
      <c r="BS45" s="228">
        <f t="shared" si="44"/>
        <v>0</v>
      </c>
      <c r="BT45" s="228">
        <f t="shared" si="44"/>
        <v>0</v>
      </c>
      <c r="BU45" s="228">
        <f t="shared" si="44"/>
        <v>0</v>
      </c>
      <c r="BV45" s="228">
        <f t="shared" si="44"/>
        <v>0</v>
      </c>
      <c r="BW45" s="228">
        <f t="shared" si="44"/>
        <v>0</v>
      </c>
      <c r="BX45" s="228">
        <f t="shared" si="44"/>
        <v>0</v>
      </c>
      <c r="BY45" s="228">
        <f t="shared" si="44"/>
        <v>0</v>
      </c>
      <c r="BZ45" s="228">
        <f t="shared" si="44"/>
        <v>0</v>
      </c>
      <c r="CA45" s="228">
        <f t="shared" si="44"/>
        <v>0</v>
      </c>
      <c r="CB45" s="228">
        <f t="shared" si="44"/>
        <v>0</v>
      </c>
      <c r="CC45" s="228">
        <f t="shared" si="44"/>
        <v>0</v>
      </c>
      <c r="CD45" s="228">
        <f t="shared" si="44"/>
        <v>0</v>
      </c>
      <c r="CE45" s="228">
        <f t="shared" si="44"/>
        <v>0</v>
      </c>
      <c r="CF45" s="228">
        <f t="shared" si="44"/>
        <v>0</v>
      </c>
      <c r="CG45" s="228">
        <f t="shared" si="44"/>
        <v>0</v>
      </c>
      <c r="CH45" s="228">
        <f t="shared" si="44"/>
        <v>0</v>
      </c>
      <c r="CI45" s="228">
        <f t="shared" si="44"/>
        <v>0</v>
      </c>
      <c r="CJ45" s="228">
        <f t="shared" si="44"/>
        <v>0</v>
      </c>
      <c r="CK45" s="228">
        <f t="shared" si="44"/>
        <v>0</v>
      </c>
      <c r="CL45" s="228">
        <f t="shared" si="44"/>
        <v>0</v>
      </c>
      <c r="CM45" s="228">
        <f t="shared" si="44"/>
        <v>0</v>
      </c>
      <c r="CN45" s="228">
        <f t="shared" si="44"/>
        <v>0</v>
      </c>
      <c r="CO45" s="228">
        <f t="shared" si="44"/>
        <v>0</v>
      </c>
      <c r="CP45" s="228">
        <f t="shared" si="44"/>
        <v>0</v>
      </c>
      <c r="CQ45" s="228">
        <f t="shared" si="44"/>
        <v>0</v>
      </c>
      <c r="CR45" s="228">
        <f t="shared" si="44"/>
        <v>0</v>
      </c>
      <c r="CS45" s="228">
        <f t="shared" si="44"/>
        <v>0</v>
      </c>
      <c r="CT45" s="228">
        <f t="shared" si="44"/>
        <v>0</v>
      </c>
      <c r="CU45" s="228">
        <f t="shared" si="44"/>
        <v>0</v>
      </c>
      <c r="CV45" s="228">
        <f t="shared" si="44"/>
        <v>0</v>
      </c>
      <c r="CW45" s="228">
        <f t="shared" si="44"/>
        <v>0</v>
      </c>
      <c r="CX45" s="228">
        <f t="shared" si="44"/>
        <v>0</v>
      </c>
      <c r="CY45" s="228">
        <f t="shared" si="44"/>
        <v>0</v>
      </c>
      <c r="CZ45" s="228">
        <f t="shared" si="44"/>
        <v>0</v>
      </c>
      <c r="DA45" s="228">
        <f t="shared" si="44"/>
        <v>0</v>
      </c>
      <c r="DB45" s="228">
        <f t="shared" si="44"/>
        <v>0</v>
      </c>
      <c r="DC45" s="228">
        <f t="shared" si="44"/>
        <v>0</v>
      </c>
      <c r="DD45" s="228">
        <f t="shared" si="44"/>
        <v>0</v>
      </c>
      <c r="DE45" s="228">
        <f t="shared" si="44"/>
        <v>0</v>
      </c>
      <c r="DF45" s="228">
        <f t="shared" si="44"/>
        <v>0</v>
      </c>
      <c r="DG45" s="228">
        <f t="shared" si="44"/>
        <v>0</v>
      </c>
      <c r="DH45" s="228">
        <f t="shared" si="44"/>
        <v>0</v>
      </c>
      <c r="DI45" s="228">
        <f t="shared" si="44"/>
        <v>0</v>
      </c>
      <c r="DJ45" s="228">
        <f t="shared" si="44"/>
        <v>0</v>
      </c>
      <c r="DK45" s="228">
        <f t="shared" si="44"/>
        <v>0</v>
      </c>
      <c r="DL45" s="228">
        <f t="shared" si="44"/>
        <v>0</v>
      </c>
      <c r="DM45" s="228">
        <f t="shared" si="44"/>
        <v>0</v>
      </c>
      <c r="DN45" s="228">
        <f t="shared" si="44"/>
        <v>0</v>
      </c>
      <c r="DO45" s="228">
        <f t="shared" si="44"/>
        <v>0</v>
      </c>
      <c r="DP45" s="228">
        <f t="shared" si="44"/>
        <v>0</v>
      </c>
      <c r="DQ45" s="228">
        <f t="shared" si="44"/>
        <v>0</v>
      </c>
      <c r="DR45" s="228">
        <f t="shared" si="44"/>
        <v>0</v>
      </c>
      <c r="DS45" s="228">
        <f t="shared" si="44"/>
        <v>0</v>
      </c>
      <c r="DT45" s="228">
        <f t="shared" si="44"/>
        <v>0</v>
      </c>
      <c r="DU45" s="228">
        <f t="shared" si="44"/>
        <v>0</v>
      </c>
      <c r="DV45" s="228">
        <f t="shared" si="44"/>
        <v>0</v>
      </c>
      <c r="DW45" s="228">
        <f t="shared" si="44"/>
        <v>0</v>
      </c>
      <c r="DX45" s="228">
        <f t="shared" si="44"/>
        <v>0</v>
      </c>
      <c r="DY45" s="228">
        <f t="shared" si="44"/>
        <v>0</v>
      </c>
      <c r="DZ45" s="228">
        <f t="shared" si="44"/>
        <v>0</v>
      </c>
      <c r="EA45" s="228">
        <f t="shared" si="44"/>
        <v>0</v>
      </c>
      <c r="EB45" s="228">
        <f t="shared" ref="EB45:EQ45" si="45">IF(EB41=$C27,$C28*$C38,0)</f>
        <v>0</v>
      </c>
      <c r="EC45" s="228">
        <f t="shared" si="45"/>
        <v>0</v>
      </c>
      <c r="ED45" s="228">
        <f t="shared" si="45"/>
        <v>0</v>
      </c>
      <c r="EE45" s="228">
        <f t="shared" si="45"/>
        <v>0</v>
      </c>
      <c r="EF45" s="228">
        <f t="shared" si="45"/>
        <v>0</v>
      </c>
      <c r="EG45" s="228">
        <f t="shared" si="45"/>
        <v>0</v>
      </c>
      <c r="EH45" s="228">
        <f t="shared" si="45"/>
        <v>0</v>
      </c>
      <c r="EI45" s="228">
        <f t="shared" si="45"/>
        <v>0</v>
      </c>
      <c r="EJ45" s="228">
        <f t="shared" si="45"/>
        <v>0</v>
      </c>
      <c r="EK45" s="228">
        <f t="shared" si="45"/>
        <v>0</v>
      </c>
      <c r="EL45" s="228">
        <f t="shared" si="45"/>
        <v>0</v>
      </c>
      <c r="EM45" s="228">
        <f t="shared" si="45"/>
        <v>0</v>
      </c>
      <c r="EN45" s="228">
        <f t="shared" si="45"/>
        <v>0</v>
      </c>
      <c r="EO45" s="228">
        <f t="shared" si="45"/>
        <v>0</v>
      </c>
      <c r="EP45" s="228">
        <f t="shared" si="45"/>
        <v>0</v>
      </c>
      <c r="EQ45" s="229">
        <f t="shared" si="45"/>
        <v>0</v>
      </c>
    </row>
    <row r="46" spans="1:147" x14ac:dyDescent="0.25">
      <c r="A46" s="230" t="s">
        <v>356</v>
      </c>
      <c r="B46" s="231"/>
      <c r="C46" s="232"/>
      <c r="D46" s="232">
        <f t="shared" ref="D46:BO46" si="46">IF(D41=$C27,$C28,C46-D43)</f>
        <v>0</v>
      </c>
      <c r="E46" s="232">
        <f t="shared" si="46"/>
        <v>0</v>
      </c>
      <c r="F46" s="232">
        <f t="shared" si="46"/>
        <v>0</v>
      </c>
      <c r="G46" s="232">
        <f t="shared" si="46"/>
        <v>2589200.4927319563</v>
      </c>
      <c r="H46" s="232">
        <f t="shared" si="46"/>
        <v>2589200.4927319563</v>
      </c>
      <c r="I46" s="232">
        <f t="shared" si="46"/>
        <v>2589200.4927319563</v>
      </c>
      <c r="J46" s="232">
        <f t="shared" si="46"/>
        <v>2589200.4927319563</v>
      </c>
      <c r="K46" s="232">
        <f t="shared" si="46"/>
        <v>2589200.4927319563</v>
      </c>
      <c r="L46" s="232">
        <f t="shared" si="46"/>
        <v>2589200.4927319563</v>
      </c>
      <c r="M46" s="232">
        <f t="shared" si="46"/>
        <v>2505825.319688519</v>
      </c>
      <c r="N46" s="232">
        <f t="shared" si="46"/>
        <v>2505825.319688519</v>
      </c>
      <c r="O46" s="232">
        <f t="shared" si="46"/>
        <v>2505825.319688519</v>
      </c>
      <c r="P46" s="232">
        <f t="shared" si="46"/>
        <v>2505825.319688519</v>
      </c>
      <c r="Q46" s="232">
        <f t="shared" si="46"/>
        <v>2505825.319688519</v>
      </c>
      <c r="R46" s="232">
        <f t="shared" si="46"/>
        <v>2505825.319688519</v>
      </c>
      <c r="S46" s="232">
        <f t="shared" si="46"/>
        <v>2418779.0835078247</v>
      </c>
      <c r="T46" s="232">
        <f t="shared" si="46"/>
        <v>2418779.0835078247</v>
      </c>
      <c r="U46" s="232">
        <f t="shared" si="46"/>
        <v>2418779.0835078247</v>
      </c>
      <c r="V46" s="232">
        <f t="shared" si="46"/>
        <v>2418779.0835078247</v>
      </c>
      <c r="W46" s="232">
        <f t="shared" si="46"/>
        <v>2418779.0835078247</v>
      </c>
      <c r="X46" s="232">
        <f t="shared" si="46"/>
        <v>2418779.0835078247</v>
      </c>
      <c r="Y46" s="232">
        <f t="shared" si="46"/>
        <v>2327900.1448904779</v>
      </c>
      <c r="Z46" s="232">
        <f t="shared" si="46"/>
        <v>2327900.1448904779</v>
      </c>
      <c r="AA46" s="232">
        <f t="shared" si="46"/>
        <v>2327900.1448904779</v>
      </c>
      <c r="AB46" s="232">
        <f t="shared" si="46"/>
        <v>2327900.1448904779</v>
      </c>
      <c r="AC46" s="232">
        <f t="shared" si="46"/>
        <v>2327900.1448904779</v>
      </c>
      <c r="AD46" s="232">
        <f t="shared" si="46"/>
        <v>2327900.1448904779</v>
      </c>
      <c r="AE46" s="232">
        <f t="shared" si="46"/>
        <v>2233019.747453521</v>
      </c>
      <c r="AF46" s="232">
        <f t="shared" si="46"/>
        <v>2233019.747453521</v>
      </c>
      <c r="AG46" s="232">
        <f t="shared" si="46"/>
        <v>2233019.747453521</v>
      </c>
      <c r="AH46" s="232">
        <f t="shared" si="46"/>
        <v>2233019.747453521</v>
      </c>
      <c r="AI46" s="232">
        <f t="shared" si="46"/>
        <v>2233019.747453521</v>
      </c>
      <c r="AJ46" s="232">
        <f t="shared" si="46"/>
        <v>2233019.747453521</v>
      </c>
      <c r="AK46" s="232">
        <f t="shared" si="46"/>
        <v>2133961.7043606127</v>
      </c>
      <c r="AL46" s="232">
        <f t="shared" si="46"/>
        <v>2133961.7043606127</v>
      </c>
      <c r="AM46" s="232">
        <f t="shared" si="46"/>
        <v>2133961.7043606127</v>
      </c>
      <c r="AN46" s="232">
        <f t="shared" si="46"/>
        <v>2133961.7043606127</v>
      </c>
      <c r="AO46" s="232">
        <f t="shared" si="46"/>
        <v>2133961.7043606127</v>
      </c>
      <c r="AP46" s="232">
        <f t="shared" si="46"/>
        <v>2133961.7043606127</v>
      </c>
      <c r="AQ46" s="232">
        <f t="shared" si="46"/>
        <v>2030542.0711543297</v>
      </c>
      <c r="AR46" s="232">
        <f t="shared" si="46"/>
        <v>2030542.0711543297</v>
      </c>
      <c r="AS46" s="232">
        <f t="shared" si="46"/>
        <v>2030542.0711543297</v>
      </c>
      <c r="AT46" s="232">
        <f t="shared" si="46"/>
        <v>2030542.0711543297</v>
      </c>
      <c r="AU46" s="232">
        <f t="shared" si="46"/>
        <v>2030542.0711543297</v>
      </c>
      <c r="AV46" s="232">
        <f t="shared" si="46"/>
        <v>2030542.0711543297</v>
      </c>
      <c r="AW46" s="232">
        <f t="shared" si="46"/>
        <v>1922568.8041830598</v>
      </c>
      <c r="AX46" s="232">
        <f t="shared" si="46"/>
        <v>1922568.8041830598</v>
      </c>
      <c r="AY46" s="232">
        <f t="shared" si="46"/>
        <v>1922568.8041830598</v>
      </c>
      <c r="AZ46" s="232">
        <f t="shared" si="46"/>
        <v>1922568.8041830598</v>
      </c>
      <c r="BA46" s="232">
        <f t="shared" si="46"/>
        <v>1922568.8041830598</v>
      </c>
      <c r="BB46" s="232">
        <f t="shared" si="46"/>
        <v>1922568.8041830598</v>
      </c>
      <c r="BC46" s="232">
        <f t="shared" si="46"/>
        <v>1809841.4039882114</v>
      </c>
      <c r="BD46" s="232">
        <f t="shared" si="46"/>
        <v>1809841.4039882114</v>
      </c>
      <c r="BE46" s="232">
        <f t="shared" si="46"/>
        <v>1809841.4039882114</v>
      </c>
      <c r="BF46" s="232">
        <f t="shared" si="46"/>
        <v>1809841.4039882114</v>
      </c>
      <c r="BG46" s="232">
        <f t="shared" si="46"/>
        <v>1809841.4039882114</v>
      </c>
      <c r="BH46" s="232">
        <f t="shared" si="46"/>
        <v>1809841.4039882114</v>
      </c>
      <c r="BI46" s="232">
        <f t="shared" si="46"/>
        <v>1692150.5429895273</v>
      </c>
      <c r="BJ46" s="232">
        <f t="shared" si="46"/>
        <v>1692150.5429895273</v>
      </c>
      <c r="BK46" s="232">
        <f t="shared" si="46"/>
        <v>1692150.5429895273</v>
      </c>
      <c r="BL46" s="232">
        <f t="shared" si="46"/>
        <v>1692150.5429895273</v>
      </c>
      <c r="BM46" s="232">
        <f t="shared" si="46"/>
        <v>1692150.5429895273</v>
      </c>
      <c r="BN46" s="232">
        <f t="shared" si="46"/>
        <v>1692150.5429895273</v>
      </c>
      <c r="BO46" s="232">
        <f t="shared" si="46"/>
        <v>1569277.6767771426</v>
      </c>
      <c r="BP46" s="232">
        <f t="shared" ref="BP46:EA46" si="47">IF(BP41=$C27,$C28,BO46-BP43)</f>
        <v>1569277.6767771426</v>
      </c>
      <c r="BQ46" s="232">
        <f t="shared" si="47"/>
        <v>1569277.6767771426</v>
      </c>
      <c r="BR46" s="232">
        <f t="shared" si="47"/>
        <v>1569277.6767771426</v>
      </c>
      <c r="BS46" s="232">
        <f t="shared" si="47"/>
        <v>1569277.6767771426</v>
      </c>
      <c r="BT46" s="232">
        <f t="shared" si="47"/>
        <v>1569277.6767771426</v>
      </c>
      <c r="BU46" s="232">
        <f t="shared" si="47"/>
        <v>1440994.6382885769</v>
      </c>
      <c r="BV46" s="232">
        <f t="shared" si="47"/>
        <v>1440994.6382885769</v>
      </c>
      <c r="BW46" s="232">
        <f t="shared" si="47"/>
        <v>1440994.6382885769</v>
      </c>
      <c r="BX46" s="232">
        <f t="shared" si="47"/>
        <v>1440994.6382885769</v>
      </c>
      <c r="BY46" s="232">
        <f t="shared" si="47"/>
        <v>1440994.6382885769</v>
      </c>
      <c r="BZ46" s="232">
        <f t="shared" si="47"/>
        <v>1440994.6382885769</v>
      </c>
      <c r="CA46" s="232">
        <f t="shared" si="47"/>
        <v>1307063.2141170774</v>
      </c>
      <c r="CB46" s="232">
        <f t="shared" si="47"/>
        <v>1307063.2141170774</v>
      </c>
      <c r="CC46" s="232">
        <f t="shared" si="47"/>
        <v>1307063.2141170774</v>
      </c>
      <c r="CD46" s="232">
        <f t="shared" si="47"/>
        <v>1307063.2141170774</v>
      </c>
      <c r="CE46" s="232">
        <f t="shared" si="47"/>
        <v>1307063.2141170774</v>
      </c>
      <c r="CF46" s="232">
        <f t="shared" si="47"/>
        <v>1307063.2141170774</v>
      </c>
      <c r="CG46" s="232">
        <f t="shared" si="47"/>
        <v>1167234.7021645408</v>
      </c>
      <c r="CH46" s="232">
        <f t="shared" si="47"/>
        <v>1167234.7021645408</v>
      </c>
      <c r="CI46" s="232">
        <f t="shared" si="47"/>
        <v>1167234.7021645408</v>
      </c>
      <c r="CJ46" s="232">
        <f t="shared" si="47"/>
        <v>1167234.7021645408</v>
      </c>
      <c r="CK46" s="232">
        <f t="shared" si="47"/>
        <v>1167234.7021645408</v>
      </c>
      <c r="CL46" s="232">
        <f t="shared" si="47"/>
        <v>1167234.7021645408</v>
      </c>
      <c r="CM46" s="232">
        <f t="shared" si="47"/>
        <v>1021249.4498176062</v>
      </c>
      <c r="CN46" s="232">
        <f t="shared" si="47"/>
        <v>1021249.4498176062</v>
      </c>
      <c r="CO46" s="232">
        <f t="shared" si="47"/>
        <v>1021249.4498176062</v>
      </c>
      <c r="CP46" s="232">
        <f t="shared" si="47"/>
        <v>1021249.4498176062</v>
      </c>
      <c r="CQ46" s="232">
        <f t="shared" si="47"/>
        <v>1021249.4498176062</v>
      </c>
      <c r="CR46" s="232">
        <f t="shared" si="47"/>
        <v>1021249.4498176062</v>
      </c>
      <c r="CS46" s="232">
        <f t="shared" si="47"/>
        <v>868836.37178934133</v>
      </c>
      <c r="CT46" s="232">
        <f t="shared" si="47"/>
        <v>868836.37178934133</v>
      </c>
      <c r="CU46" s="232">
        <f t="shared" si="47"/>
        <v>868836.37178934133</v>
      </c>
      <c r="CV46" s="232">
        <f t="shared" si="47"/>
        <v>868836.37178934133</v>
      </c>
      <c r="CW46" s="232">
        <f t="shared" si="47"/>
        <v>868836.37178934133</v>
      </c>
      <c r="CX46" s="232">
        <f t="shared" si="47"/>
        <v>868836.37178934133</v>
      </c>
      <c r="CY46" s="232">
        <f t="shared" si="47"/>
        <v>709712.44673118275</v>
      </c>
      <c r="CZ46" s="232">
        <f t="shared" si="47"/>
        <v>709712.44673118275</v>
      </c>
      <c r="DA46" s="232">
        <f t="shared" si="47"/>
        <v>709712.44673118275</v>
      </c>
      <c r="DB46" s="232">
        <f t="shared" si="47"/>
        <v>709712.44673118275</v>
      </c>
      <c r="DC46" s="232">
        <f t="shared" si="47"/>
        <v>709712.44673118275</v>
      </c>
      <c r="DD46" s="232">
        <f t="shared" si="47"/>
        <v>709712.44673118275</v>
      </c>
      <c r="DE46" s="232">
        <f t="shared" si="47"/>
        <v>543582.19168037386</v>
      </c>
      <c r="DF46" s="232">
        <f t="shared" si="47"/>
        <v>543582.19168037386</v>
      </c>
      <c r="DG46" s="232">
        <f t="shared" si="47"/>
        <v>543582.19168037386</v>
      </c>
      <c r="DH46" s="232">
        <f t="shared" si="47"/>
        <v>543582.19168037386</v>
      </c>
      <c r="DI46" s="232">
        <f t="shared" si="47"/>
        <v>543582.19168037386</v>
      </c>
      <c r="DJ46" s="232">
        <f t="shared" si="47"/>
        <v>543582.19168037386</v>
      </c>
      <c r="DK46" s="232">
        <f t="shared" si="47"/>
        <v>370137.11336698092</v>
      </c>
      <c r="DL46" s="232">
        <f t="shared" si="47"/>
        <v>370137.11336698092</v>
      </c>
      <c r="DM46" s="232">
        <f t="shared" si="47"/>
        <v>370137.11336698092</v>
      </c>
      <c r="DN46" s="232">
        <f t="shared" si="47"/>
        <v>370137.11336698092</v>
      </c>
      <c r="DO46" s="232">
        <f t="shared" si="47"/>
        <v>370137.11336698092</v>
      </c>
      <c r="DP46" s="232">
        <f t="shared" si="47"/>
        <v>370137.11336698092</v>
      </c>
      <c r="DQ46" s="232">
        <f t="shared" si="47"/>
        <v>189055.13536159927</v>
      </c>
      <c r="DR46" s="232">
        <f t="shared" si="47"/>
        <v>189055.13536159927</v>
      </c>
      <c r="DS46" s="232">
        <f t="shared" si="47"/>
        <v>189055.13536159927</v>
      </c>
      <c r="DT46" s="232">
        <f t="shared" si="47"/>
        <v>189055.13536159927</v>
      </c>
      <c r="DU46" s="232">
        <f t="shared" si="47"/>
        <v>189055.13536159927</v>
      </c>
      <c r="DV46" s="232">
        <f t="shared" si="47"/>
        <v>189055.13536159927</v>
      </c>
      <c r="DW46" s="232">
        <f t="shared" si="47"/>
        <v>9.6042640507221222E-10</v>
      </c>
      <c r="DX46" s="232">
        <f t="shared" si="47"/>
        <v>9.6042640507221222E-10</v>
      </c>
      <c r="DY46" s="232">
        <f t="shared" si="47"/>
        <v>9.6042640507221222E-10</v>
      </c>
      <c r="DZ46" s="232">
        <f t="shared" si="47"/>
        <v>9.6042640507221222E-10</v>
      </c>
      <c r="EA46" s="232">
        <f t="shared" si="47"/>
        <v>9.6042640507221222E-10</v>
      </c>
      <c r="EB46" s="232">
        <f t="shared" ref="EB46:EQ46" si="48">IF(EB41=$C27,$C28,EA46-EB43)</f>
        <v>9.6042640507221222E-10</v>
      </c>
      <c r="EC46" s="232">
        <f t="shared" si="48"/>
        <v>9.6042640507221222E-10</v>
      </c>
      <c r="ED46" s="232">
        <f t="shared" si="48"/>
        <v>9.6042640507221222E-10</v>
      </c>
      <c r="EE46" s="232">
        <f t="shared" si="48"/>
        <v>9.6042640507221222E-10</v>
      </c>
      <c r="EF46" s="232">
        <f t="shared" si="48"/>
        <v>9.6042640507221222E-10</v>
      </c>
      <c r="EG46" s="232">
        <f t="shared" si="48"/>
        <v>9.6042640507221222E-10</v>
      </c>
      <c r="EH46" s="232">
        <f t="shared" si="48"/>
        <v>9.6042640507221222E-10</v>
      </c>
      <c r="EI46" s="232">
        <f t="shared" si="48"/>
        <v>9.6042640507221222E-10</v>
      </c>
      <c r="EJ46" s="232">
        <f t="shared" si="48"/>
        <v>9.6042640507221222E-10</v>
      </c>
      <c r="EK46" s="232">
        <f t="shared" si="48"/>
        <v>9.6042640507221222E-10</v>
      </c>
      <c r="EL46" s="232">
        <f t="shared" si="48"/>
        <v>9.6042640507221222E-10</v>
      </c>
      <c r="EM46" s="232">
        <f t="shared" si="48"/>
        <v>9.6042640507221222E-10</v>
      </c>
      <c r="EN46" s="232">
        <f t="shared" si="48"/>
        <v>9.6042640507221222E-10</v>
      </c>
      <c r="EO46" s="232">
        <f t="shared" si="48"/>
        <v>9.6042640507221222E-10</v>
      </c>
      <c r="EP46" s="232">
        <f t="shared" si="48"/>
        <v>9.6042640507221222E-10</v>
      </c>
      <c r="EQ46" s="233">
        <f t="shared" si="48"/>
        <v>9.6042640507221222E-10</v>
      </c>
    </row>
    <row r="47" spans="1:147" x14ac:dyDescent="0.25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  <c r="DK47" s="234"/>
      <c r="DL47" s="234"/>
      <c r="DM47" s="234"/>
      <c r="DN47" s="234"/>
      <c r="DO47" s="234"/>
      <c r="DP47" s="234"/>
      <c r="DQ47" s="234"/>
      <c r="DR47" s="234"/>
      <c r="DS47" s="234"/>
      <c r="DT47" s="234"/>
      <c r="DU47" s="234"/>
      <c r="DV47" s="234"/>
      <c r="DW47" s="234"/>
      <c r="DX47" s="234"/>
      <c r="DY47" s="234"/>
      <c r="DZ47" s="234"/>
      <c r="EA47" s="234"/>
      <c r="EB47" s="234"/>
      <c r="EC47" s="234"/>
      <c r="ED47" s="234"/>
      <c r="EE47" s="234"/>
      <c r="EF47" s="234"/>
      <c r="EG47" s="234"/>
      <c r="EH47" s="234"/>
      <c r="EI47" s="234"/>
      <c r="EJ47" s="234"/>
      <c r="EK47" s="234"/>
      <c r="EL47" s="234"/>
      <c r="EM47" s="234"/>
      <c r="EN47" s="234"/>
      <c r="EO47" s="234"/>
      <c r="EP47" s="234"/>
      <c r="EQ47" s="234"/>
    </row>
    <row r="48" spans="1:147" x14ac:dyDescent="0.25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W48" s="234"/>
      <c r="DX48" s="234"/>
      <c r="DY48" s="234"/>
      <c r="DZ48" s="234"/>
      <c r="EA48" s="234"/>
      <c r="EB48" s="234"/>
      <c r="EC48" s="234"/>
      <c r="ED48" s="234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</row>
    <row r="49" spans="1:147" ht="15.75" x14ac:dyDescent="0.25">
      <c r="A49" s="215" t="s">
        <v>372</v>
      </c>
      <c r="B49" s="215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  <c r="BK49" s="234"/>
      <c r="BL49" s="234"/>
      <c r="BM49" s="234"/>
      <c r="BN49" s="234"/>
      <c r="BO49" s="234"/>
      <c r="BP49" s="234"/>
      <c r="BQ49" s="234"/>
      <c r="BR49" s="234"/>
      <c r="BS49" s="234"/>
      <c r="BT49" s="234"/>
      <c r="BU49" s="234"/>
      <c r="BV49" s="234"/>
      <c r="BW49" s="234"/>
      <c r="BX49" s="234"/>
      <c r="BY49" s="234"/>
      <c r="BZ49" s="234"/>
      <c r="CA49" s="234"/>
      <c r="CB49" s="234"/>
      <c r="CC49" s="234"/>
      <c r="CD49" s="234"/>
      <c r="CE49" s="234"/>
      <c r="CF49" s="234"/>
      <c r="CG49" s="234"/>
      <c r="CH49" s="234"/>
      <c r="CI49" s="234"/>
      <c r="CJ49" s="234"/>
      <c r="CK49" s="234"/>
      <c r="CL49" s="234"/>
      <c r="CM49" s="234"/>
      <c r="CN49" s="234"/>
      <c r="CO49" s="234"/>
      <c r="CP49" s="234"/>
      <c r="CQ49" s="234"/>
      <c r="CR49" s="234"/>
      <c r="CS49" s="234"/>
      <c r="CT49" s="234"/>
      <c r="CU49" s="234"/>
      <c r="CV49" s="234"/>
      <c r="CW49" s="234"/>
      <c r="CX49" s="234"/>
      <c r="CY49" s="234"/>
      <c r="CZ49" s="234"/>
      <c r="DA49" s="234"/>
      <c r="DB49" s="234"/>
      <c r="DC49" s="234"/>
      <c r="DD49" s="234"/>
      <c r="DE49" s="234"/>
      <c r="DF49" s="234"/>
      <c r="DG49" s="234"/>
      <c r="DH49" s="234"/>
      <c r="DI49" s="234"/>
      <c r="DJ49" s="234"/>
      <c r="DK49" s="234"/>
      <c r="DL49" s="234"/>
      <c r="DM49" s="234"/>
      <c r="DN49" s="234"/>
      <c r="DO49" s="234"/>
      <c r="DP49" s="234"/>
      <c r="DQ49" s="234"/>
      <c r="DR49" s="234"/>
      <c r="DS49" s="234"/>
      <c r="DT49" s="234"/>
      <c r="DU49" s="234"/>
      <c r="DV49" s="234"/>
      <c r="DW49" s="234"/>
      <c r="DX49" s="234"/>
      <c r="DY49" s="234"/>
      <c r="DZ49" s="234"/>
      <c r="EA49" s="234"/>
      <c r="EB49" s="234"/>
      <c r="EC49" s="234"/>
      <c r="ED49" s="234"/>
      <c r="EE49" s="234"/>
      <c r="EF49" s="234"/>
      <c r="EG49" s="234"/>
      <c r="EH49" s="234"/>
      <c r="EI49" s="234"/>
      <c r="EJ49" s="234"/>
      <c r="EK49" s="234"/>
      <c r="EL49" s="234"/>
      <c r="EM49" s="234"/>
      <c r="EN49" s="234"/>
      <c r="EO49" s="234"/>
      <c r="EP49" s="234"/>
      <c r="EQ49" s="234"/>
    </row>
    <row r="50" spans="1:147" x14ac:dyDescent="0.25"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234"/>
      <c r="BB50" s="234"/>
      <c r="BC50" s="234"/>
      <c r="BD50" s="234"/>
      <c r="BE50" s="234"/>
      <c r="BF50" s="234"/>
      <c r="BG50" s="234"/>
      <c r="BH50" s="234"/>
      <c r="BI50" s="234"/>
      <c r="BJ50" s="234"/>
      <c r="BK50" s="234"/>
      <c r="BL50" s="234"/>
      <c r="BM50" s="234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234"/>
      <c r="CM50" s="234"/>
      <c r="CN50" s="234"/>
      <c r="CO50" s="234"/>
      <c r="CP50" s="234"/>
      <c r="CQ50" s="23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4"/>
      <c r="DE50" s="234"/>
      <c r="DF50" s="234"/>
      <c r="DG50" s="234"/>
      <c r="DH50" s="234"/>
      <c r="DI50" s="234"/>
      <c r="DJ50" s="234"/>
      <c r="DK50" s="234"/>
      <c r="DL50" s="234"/>
      <c r="DM50" s="234"/>
      <c r="DN50" s="234"/>
      <c r="DO50" s="234"/>
      <c r="DP50" s="234"/>
      <c r="DQ50" s="234"/>
      <c r="DR50" s="234"/>
      <c r="DS50" s="234"/>
      <c r="DT50" s="234"/>
      <c r="DU50" s="234"/>
      <c r="DV50" s="234"/>
      <c r="DW50" s="234"/>
      <c r="DX50" s="234"/>
      <c r="DY50" s="234"/>
      <c r="DZ50" s="234"/>
      <c r="EA50" s="234"/>
      <c r="EB50" s="234"/>
      <c r="EC50" s="234"/>
      <c r="ED50" s="234"/>
      <c r="EE50" s="234"/>
      <c r="EF50" s="234"/>
      <c r="EG50" s="234"/>
      <c r="EH50" s="234"/>
      <c r="EI50" s="234"/>
      <c r="EJ50" s="234"/>
      <c r="EK50" s="234"/>
      <c r="EL50" s="234"/>
      <c r="EM50" s="234"/>
      <c r="EN50" s="234"/>
      <c r="EO50" s="234"/>
      <c r="EP50" s="234"/>
      <c r="EQ50" s="234"/>
    </row>
    <row r="51" spans="1:147" x14ac:dyDescent="0.25">
      <c r="A51" s="218" t="s">
        <v>360</v>
      </c>
      <c r="B51" s="219"/>
      <c r="C51" s="236">
        <f>DATE(YEAR(C27)+1,MONTH(C27),DAY(C27))</f>
        <v>44287</v>
      </c>
      <c r="D51" s="237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4"/>
      <c r="DE51" s="234"/>
      <c r="DF51" s="234"/>
      <c r="DG51" s="234"/>
      <c r="DH51" s="234"/>
      <c r="DI51" s="234"/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W51" s="234"/>
      <c r="DX51" s="234"/>
      <c r="DY51" s="234"/>
      <c r="DZ51" s="234"/>
      <c r="EA51" s="234"/>
      <c r="EB51" s="234"/>
      <c r="EC51" s="234"/>
      <c r="ED51" s="234"/>
      <c r="EE51" s="234"/>
      <c r="EF51" s="234"/>
      <c r="EG51" s="234"/>
      <c r="EH51" s="234"/>
      <c r="EI51" s="234"/>
      <c r="EJ51" s="234"/>
      <c r="EK51" s="234"/>
      <c r="EL51" s="234"/>
      <c r="EM51" s="234"/>
      <c r="EN51" s="234"/>
      <c r="EO51" s="234"/>
      <c r="EP51" s="234"/>
      <c r="EQ51" s="234"/>
    </row>
    <row r="52" spans="1:147" x14ac:dyDescent="0.25">
      <c r="A52" s="226" t="s">
        <v>361</v>
      </c>
      <c r="B52" s="227"/>
      <c r="C52" s="228">
        <f>E8</f>
        <v>4588218.0623076102</v>
      </c>
      <c r="D52" s="238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</row>
    <row r="53" spans="1:147" x14ac:dyDescent="0.25">
      <c r="A53" s="239" t="s">
        <v>362</v>
      </c>
      <c r="B53" s="240"/>
      <c r="C53" s="241">
        <v>9</v>
      </c>
      <c r="D53" s="238" t="s">
        <v>363</v>
      </c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</row>
    <row r="54" spans="1:147" x14ac:dyDescent="0.25">
      <c r="A54" s="223"/>
      <c r="B54" s="224"/>
      <c r="C54" s="241">
        <f>C53*2</f>
        <v>18</v>
      </c>
      <c r="D54" s="238" t="s">
        <v>364</v>
      </c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</row>
    <row r="55" spans="1:147" x14ac:dyDescent="0.25">
      <c r="A55" s="239" t="s">
        <v>365</v>
      </c>
      <c r="B55" s="240"/>
      <c r="C55" s="241">
        <v>0</v>
      </c>
      <c r="D55" s="238" t="s">
        <v>363</v>
      </c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234"/>
      <c r="BC55" s="234"/>
      <c r="BD55" s="234"/>
      <c r="BE55" s="234"/>
      <c r="BF55" s="234"/>
      <c r="BG55" s="234"/>
      <c r="BH55" s="234"/>
      <c r="BI55" s="234"/>
      <c r="BJ55" s="234"/>
      <c r="BK55" s="234"/>
      <c r="BL55" s="234"/>
      <c r="BM55" s="234"/>
      <c r="BN55" s="234"/>
      <c r="BO55" s="234"/>
      <c r="BP55" s="234"/>
      <c r="BQ55" s="234"/>
      <c r="BR55" s="234"/>
      <c r="BS55" s="234"/>
      <c r="BT55" s="234"/>
      <c r="BU55" s="234"/>
      <c r="BV55" s="234"/>
      <c r="BW55" s="234"/>
      <c r="BX55" s="234"/>
      <c r="BY55" s="234"/>
      <c r="BZ55" s="234"/>
      <c r="CA55" s="234"/>
      <c r="CB55" s="234"/>
      <c r="CC55" s="234"/>
      <c r="CD55" s="234"/>
      <c r="CE55" s="234"/>
      <c r="CF55" s="234"/>
      <c r="CG55" s="234"/>
      <c r="CH55" s="234"/>
      <c r="CI55" s="234"/>
      <c r="CJ55" s="234"/>
      <c r="CK55" s="234"/>
      <c r="CL55" s="234"/>
      <c r="CM55" s="234"/>
      <c r="CN55" s="234"/>
      <c r="CO55" s="234"/>
      <c r="CP55" s="234"/>
      <c r="CQ55" s="234"/>
      <c r="CR55" s="234"/>
      <c r="CS55" s="234"/>
      <c r="CT55" s="234"/>
      <c r="CU55" s="234"/>
      <c r="CV55" s="234"/>
      <c r="CW55" s="234"/>
      <c r="CX55" s="234"/>
      <c r="CY55" s="234"/>
      <c r="CZ55" s="234"/>
      <c r="DA55" s="234"/>
      <c r="DB55" s="234"/>
      <c r="DC55" s="234"/>
      <c r="DD55" s="234"/>
      <c r="DE55" s="234"/>
      <c r="DF55" s="234"/>
      <c r="DG55" s="234"/>
      <c r="DH55" s="234"/>
      <c r="DI55" s="234"/>
      <c r="DJ55" s="234"/>
      <c r="DK55" s="234"/>
      <c r="DL55" s="234"/>
      <c r="DM55" s="234"/>
      <c r="DN55" s="234"/>
      <c r="DO55" s="234"/>
      <c r="DP55" s="234"/>
      <c r="DQ55" s="234"/>
      <c r="DR55" s="234"/>
      <c r="DS55" s="234"/>
      <c r="DT55" s="234"/>
      <c r="DU55" s="234"/>
      <c r="DV55" s="234"/>
      <c r="DW55" s="234"/>
      <c r="DX55" s="234"/>
      <c r="DY55" s="234"/>
      <c r="DZ55" s="234"/>
      <c r="EA55" s="234"/>
      <c r="EB55" s="234"/>
      <c r="EC55" s="234"/>
      <c r="ED55" s="234"/>
      <c r="EE55" s="234"/>
      <c r="EF55" s="234"/>
      <c r="EG55" s="234"/>
      <c r="EH55" s="234"/>
      <c r="EI55" s="234"/>
      <c r="EJ55" s="234"/>
      <c r="EK55" s="234"/>
      <c r="EL55" s="234"/>
      <c r="EM55" s="234"/>
      <c r="EN55" s="234"/>
      <c r="EO55" s="234"/>
      <c r="EP55" s="234"/>
      <c r="EQ55" s="234"/>
    </row>
    <row r="56" spans="1:147" x14ac:dyDescent="0.25">
      <c r="A56" s="223"/>
      <c r="B56" s="224"/>
      <c r="C56" s="241">
        <f>C55*2</f>
        <v>0</v>
      </c>
      <c r="D56" s="238" t="s">
        <v>364</v>
      </c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4"/>
      <c r="BR56" s="234"/>
      <c r="BS56" s="234"/>
      <c r="BT56" s="234"/>
      <c r="BU56" s="234"/>
      <c r="BV56" s="234"/>
      <c r="BW56" s="234"/>
      <c r="BX56" s="234"/>
      <c r="BY56" s="234"/>
      <c r="BZ56" s="234"/>
      <c r="CA56" s="234"/>
      <c r="CB56" s="234"/>
      <c r="CC56" s="234"/>
      <c r="CD56" s="234"/>
      <c r="CE56" s="234"/>
      <c r="CF56" s="234"/>
      <c r="CG56" s="234"/>
      <c r="CH56" s="234"/>
      <c r="CI56" s="234"/>
      <c r="CJ56" s="234"/>
      <c r="CK56" s="234"/>
      <c r="CL56" s="234"/>
      <c r="CM56" s="234"/>
      <c r="CN56" s="234"/>
      <c r="CO56" s="234"/>
      <c r="CP56" s="234"/>
      <c r="CQ56" s="234"/>
      <c r="CR56" s="234"/>
      <c r="CS56" s="234"/>
      <c r="CT56" s="234"/>
      <c r="CU56" s="234"/>
      <c r="CV56" s="234"/>
      <c r="CW56" s="234"/>
      <c r="CX56" s="234"/>
      <c r="CY56" s="234"/>
      <c r="CZ56" s="234"/>
      <c r="DA56" s="234"/>
      <c r="DB56" s="234"/>
      <c r="DC56" s="234"/>
      <c r="DD56" s="234"/>
      <c r="DE56" s="234"/>
      <c r="DF56" s="234"/>
      <c r="DG56" s="234"/>
      <c r="DH56" s="234"/>
      <c r="DI56" s="234"/>
      <c r="DJ56" s="234"/>
      <c r="DK56" s="234"/>
      <c r="DL56" s="234"/>
      <c r="DM56" s="234"/>
      <c r="DN56" s="234"/>
      <c r="DO56" s="234"/>
      <c r="DP56" s="234"/>
      <c r="DQ56" s="234"/>
      <c r="DR56" s="234"/>
      <c r="DS56" s="234"/>
      <c r="DT56" s="234"/>
      <c r="DU56" s="234"/>
      <c r="DV56" s="234"/>
      <c r="DW56" s="234"/>
      <c r="DX56" s="234"/>
      <c r="DY56" s="234"/>
      <c r="DZ56" s="234"/>
      <c r="EA56" s="234"/>
      <c r="EB56" s="234"/>
      <c r="EC56" s="234"/>
      <c r="ED56" s="234"/>
      <c r="EE56" s="234"/>
      <c r="EF56" s="234"/>
      <c r="EG56" s="234"/>
      <c r="EH56" s="234"/>
      <c r="EI56" s="234"/>
      <c r="EJ56" s="234"/>
      <c r="EK56" s="234"/>
      <c r="EL56" s="234"/>
      <c r="EM56" s="234"/>
      <c r="EN56" s="234"/>
      <c r="EO56" s="234"/>
      <c r="EP56" s="234"/>
      <c r="EQ56" s="234"/>
    </row>
    <row r="57" spans="1:147" x14ac:dyDescent="0.25">
      <c r="A57" s="217" t="s">
        <v>366</v>
      </c>
      <c r="B57" s="242"/>
      <c r="C57" s="243">
        <f>C33</f>
        <v>0.09</v>
      </c>
      <c r="D57" s="238" t="s">
        <v>367</v>
      </c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4"/>
      <c r="BN57" s="234"/>
      <c r="BO57" s="234"/>
      <c r="BP57" s="234"/>
      <c r="BQ57" s="234"/>
      <c r="BR57" s="234"/>
      <c r="BS57" s="234"/>
      <c r="BT57" s="234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234"/>
      <c r="CM57" s="234"/>
      <c r="CN57" s="234"/>
      <c r="CO57" s="234"/>
      <c r="CP57" s="234"/>
      <c r="CQ57" s="234"/>
      <c r="CR57" s="234"/>
      <c r="CS57" s="234"/>
      <c r="CT57" s="234"/>
      <c r="CU57" s="234"/>
      <c r="CV57" s="234"/>
      <c r="CW57" s="234"/>
      <c r="CX57" s="234"/>
      <c r="CY57" s="234"/>
      <c r="CZ57" s="234"/>
      <c r="DA57" s="234"/>
      <c r="DB57" s="234"/>
      <c r="DC57" s="234"/>
      <c r="DD57" s="234"/>
      <c r="DE57" s="234"/>
      <c r="DF57" s="234"/>
      <c r="DG57" s="234"/>
      <c r="DH57" s="234"/>
      <c r="DI57" s="234"/>
      <c r="DJ57" s="234"/>
      <c r="DK57" s="234"/>
      <c r="DL57" s="234"/>
      <c r="DM57" s="234"/>
      <c r="DN57" s="234"/>
      <c r="DO57" s="234"/>
      <c r="DP57" s="234"/>
      <c r="DQ57" s="234"/>
      <c r="DR57" s="234"/>
      <c r="DS57" s="234"/>
      <c r="DT57" s="234"/>
      <c r="DU57" s="234"/>
      <c r="DV57" s="234"/>
      <c r="DW57" s="234"/>
      <c r="DX57" s="234"/>
      <c r="DY57" s="234"/>
      <c r="DZ57" s="234"/>
      <c r="EA57" s="234"/>
      <c r="EB57" s="234"/>
      <c r="EC57" s="234"/>
      <c r="ED57" s="234"/>
      <c r="EE57" s="234"/>
      <c r="EF57" s="234"/>
      <c r="EG57" s="234"/>
      <c r="EH57" s="234"/>
      <c r="EI57" s="234"/>
      <c r="EJ57" s="234"/>
      <c r="EK57" s="234"/>
      <c r="EL57" s="234"/>
      <c r="EM57" s="234"/>
      <c r="EN57" s="234"/>
      <c r="EO57" s="234"/>
      <c r="EP57" s="234"/>
      <c r="EQ57" s="234"/>
    </row>
    <row r="58" spans="1:147" x14ac:dyDescent="0.25">
      <c r="A58" s="217"/>
      <c r="B58" s="242"/>
      <c r="C58" s="244">
        <f>((1+C57)^(1/2))-1</f>
        <v>4.4030650891055068E-2</v>
      </c>
      <c r="D58" s="238" t="s">
        <v>368</v>
      </c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234"/>
      <c r="EF58" s="234"/>
      <c r="EG58" s="234"/>
      <c r="EH58" s="234"/>
      <c r="EI58" s="234"/>
      <c r="EJ58" s="234"/>
      <c r="EK58" s="234"/>
      <c r="EL58" s="234"/>
      <c r="EM58" s="234"/>
      <c r="EN58" s="234"/>
      <c r="EO58" s="234"/>
      <c r="EP58" s="234"/>
      <c r="EQ58" s="234"/>
    </row>
    <row r="59" spans="1:147" x14ac:dyDescent="0.25">
      <c r="A59" s="239" t="s">
        <v>369</v>
      </c>
      <c r="B59" s="240"/>
      <c r="C59" s="244">
        <f>C35</f>
        <v>0.09</v>
      </c>
      <c r="D59" s="238" t="s">
        <v>367</v>
      </c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4"/>
      <c r="EF59" s="234"/>
      <c r="EG59" s="234"/>
      <c r="EH59" s="234"/>
      <c r="EI59" s="234"/>
      <c r="EJ59" s="234"/>
      <c r="EK59" s="234"/>
      <c r="EL59" s="234"/>
      <c r="EM59" s="234"/>
      <c r="EN59" s="234"/>
      <c r="EO59" s="234"/>
      <c r="EP59" s="234"/>
      <c r="EQ59" s="234"/>
    </row>
    <row r="60" spans="1:147" x14ac:dyDescent="0.25">
      <c r="A60" s="223"/>
      <c r="B60" s="224"/>
      <c r="C60" s="244">
        <f>((1+C59)^(1/2))-1</f>
        <v>4.4030650891055068E-2</v>
      </c>
      <c r="D60" s="238" t="s">
        <v>368</v>
      </c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234"/>
      <c r="EE60" s="234"/>
      <c r="EF60" s="234"/>
      <c r="EG60" s="234"/>
      <c r="EH60" s="234"/>
      <c r="EI60" s="234"/>
      <c r="EJ60" s="234"/>
      <c r="EK60" s="234"/>
      <c r="EL60" s="234"/>
      <c r="EM60" s="234"/>
      <c r="EN60" s="234"/>
      <c r="EO60" s="234"/>
      <c r="EP60" s="234"/>
      <c r="EQ60" s="234"/>
    </row>
    <row r="61" spans="1:147" x14ac:dyDescent="0.25">
      <c r="A61" s="226" t="s">
        <v>370</v>
      </c>
      <c r="B61" s="227"/>
      <c r="C61" s="245">
        <f>SUMIF(63:63,C54,65:65)</f>
        <v>47574</v>
      </c>
      <c r="D61" s="238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46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DU61" s="234"/>
      <c r="DV61" s="234"/>
      <c r="DW61" s="234"/>
      <c r="DX61" s="234"/>
      <c r="DY61" s="234"/>
      <c r="DZ61" s="234"/>
      <c r="EA61" s="234"/>
      <c r="EB61" s="234"/>
      <c r="EC61" s="234"/>
      <c r="ED61" s="234"/>
      <c r="EE61" s="234"/>
      <c r="EF61" s="234"/>
      <c r="EG61" s="234"/>
      <c r="EH61" s="234"/>
      <c r="EI61" s="234"/>
      <c r="EJ61" s="234"/>
      <c r="EK61" s="234"/>
      <c r="EL61" s="234"/>
      <c r="EM61" s="234"/>
      <c r="EN61" s="234"/>
      <c r="EO61" s="234"/>
      <c r="EP61" s="234"/>
      <c r="EQ61" s="234"/>
    </row>
    <row r="62" spans="1:147" x14ac:dyDescent="0.25">
      <c r="A62" s="230" t="s">
        <v>371</v>
      </c>
      <c r="B62" s="231"/>
      <c r="C62" s="247">
        <f>C38</f>
        <v>5.0000000000000001E-3</v>
      </c>
      <c r="D62" s="248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4"/>
      <c r="DV62" s="234"/>
      <c r="DW62" s="234"/>
      <c r="DX62" s="234"/>
      <c r="DY62" s="234"/>
      <c r="DZ62" s="234"/>
      <c r="EA62" s="234"/>
      <c r="EB62" s="234"/>
      <c r="EC62" s="234"/>
      <c r="ED62" s="234"/>
      <c r="EE62" s="234"/>
      <c r="EF62" s="234"/>
      <c r="EG62" s="234"/>
      <c r="EH62" s="234"/>
      <c r="EI62" s="234"/>
      <c r="EJ62" s="234"/>
      <c r="EK62" s="234"/>
      <c r="EL62" s="234"/>
      <c r="EM62" s="234"/>
      <c r="EN62" s="234"/>
      <c r="EO62" s="234"/>
      <c r="EP62" s="234"/>
      <c r="EQ62" s="234"/>
    </row>
    <row r="63" spans="1:147" x14ac:dyDescent="0.25">
      <c r="C63" s="249"/>
      <c r="D63" s="234"/>
      <c r="E63" s="234"/>
      <c r="F63" s="234"/>
      <c r="G63" s="18">
        <f t="shared" ref="G63:R63" si="49">IF(G66=DATE(YEAR($C$27),MONTH($C$27)+6,DAY($C$27)),1,IF(AND(A63&gt;0,A63&lt;$C54,G66&gt;=DATE(YEAR($C$27),MONTH($C$27)+6,DAY($C$27)-1)),A63+1,0))+IF(AND(G65=DATE(YEAR($C51),MONTH($C51)+6,DAY($C51))),1,0)</f>
        <v>0</v>
      </c>
      <c r="H63" s="18">
        <f t="shared" si="49"/>
        <v>0</v>
      </c>
      <c r="I63" s="18">
        <f t="shared" si="49"/>
        <v>0</v>
      </c>
      <c r="J63" s="18">
        <f t="shared" si="49"/>
        <v>0</v>
      </c>
      <c r="K63" s="18">
        <f t="shared" si="49"/>
        <v>0</v>
      </c>
      <c r="L63" s="18">
        <f t="shared" si="49"/>
        <v>0</v>
      </c>
      <c r="M63" s="18">
        <f t="shared" si="49"/>
        <v>0</v>
      </c>
      <c r="N63" s="18">
        <f t="shared" si="49"/>
        <v>0</v>
      </c>
      <c r="O63" s="18">
        <f t="shared" si="49"/>
        <v>0</v>
      </c>
      <c r="P63" s="18">
        <f t="shared" si="49"/>
        <v>0</v>
      </c>
      <c r="Q63" s="18">
        <f t="shared" si="49"/>
        <v>0</v>
      </c>
      <c r="R63" s="18">
        <f t="shared" si="49"/>
        <v>0</v>
      </c>
      <c r="S63" s="18">
        <f>IF(S66=DATE(YEAR($C$27),MONTH($C$27)+6,DAY($C$27)),1,IF(AND(M63&gt;0,M63&lt;$C54,S66&gt;=DATE(YEAR($C$27),MONTH($C$27)+6,DAY($C$27)-1)),M63+1,0))+IF(AND(S65=DATE(YEAR($C51),MONTH($C51)+6,DAY($C51))),1,0)</f>
        <v>0</v>
      </c>
      <c r="T63" s="18">
        <f t="shared" ref="T63:CE63" si="50">IF(T66=DATE(YEAR($C$27),MONTH($C$27)+6,DAY($C$27)),1,IF(AND(N63&gt;0,N63&lt;$C54,T66&gt;=DATE(YEAR($C$27),MONTH($C$27)+6,DAY($C$27)-1)),N63+1,0))+IF(AND(T65=DATE(YEAR($C51),MONTH($C51)+6,DAY($C51))),1,0)</f>
        <v>0</v>
      </c>
      <c r="U63" s="18">
        <f t="shared" si="50"/>
        <v>0</v>
      </c>
      <c r="V63" s="18">
        <f t="shared" si="50"/>
        <v>0</v>
      </c>
      <c r="W63" s="18">
        <f t="shared" si="50"/>
        <v>0</v>
      </c>
      <c r="X63" s="18">
        <f t="shared" si="50"/>
        <v>0</v>
      </c>
      <c r="Y63" s="18">
        <f t="shared" si="50"/>
        <v>1</v>
      </c>
      <c r="Z63" s="18">
        <f t="shared" si="50"/>
        <v>0</v>
      </c>
      <c r="AA63" s="18">
        <f t="shared" si="50"/>
        <v>0</v>
      </c>
      <c r="AB63" s="18">
        <f t="shared" si="50"/>
        <v>0</v>
      </c>
      <c r="AC63" s="18">
        <f t="shared" si="50"/>
        <v>0</v>
      </c>
      <c r="AD63" s="18">
        <f t="shared" si="50"/>
        <v>0</v>
      </c>
      <c r="AE63" s="18">
        <f t="shared" si="50"/>
        <v>2</v>
      </c>
      <c r="AF63" s="18">
        <f t="shared" si="50"/>
        <v>0</v>
      </c>
      <c r="AG63" s="18">
        <f t="shared" si="50"/>
        <v>0</v>
      </c>
      <c r="AH63" s="18">
        <f t="shared" si="50"/>
        <v>0</v>
      </c>
      <c r="AI63" s="18">
        <f t="shared" si="50"/>
        <v>0</v>
      </c>
      <c r="AJ63" s="18">
        <f t="shared" si="50"/>
        <v>0</v>
      </c>
      <c r="AK63" s="18">
        <f t="shared" si="50"/>
        <v>3</v>
      </c>
      <c r="AL63" s="18">
        <f t="shared" si="50"/>
        <v>0</v>
      </c>
      <c r="AM63" s="18">
        <f t="shared" si="50"/>
        <v>0</v>
      </c>
      <c r="AN63" s="18">
        <f t="shared" si="50"/>
        <v>0</v>
      </c>
      <c r="AO63" s="18">
        <f t="shared" si="50"/>
        <v>0</v>
      </c>
      <c r="AP63" s="18">
        <f t="shared" si="50"/>
        <v>0</v>
      </c>
      <c r="AQ63" s="18">
        <f t="shared" si="50"/>
        <v>4</v>
      </c>
      <c r="AR63" s="18">
        <f t="shared" si="50"/>
        <v>0</v>
      </c>
      <c r="AS63" s="18">
        <f t="shared" si="50"/>
        <v>0</v>
      </c>
      <c r="AT63" s="18">
        <f t="shared" si="50"/>
        <v>0</v>
      </c>
      <c r="AU63" s="18">
        <f t="shared" si="50"/>
        <v>0</v>
      </c>
      <c r="AV63" s="18">
        <f t="shared" si="50"/>
        <v>0</v>
      </c>
      <c r="AW63" s="18">
        <f t="shared" si="50"/>
        <v>5</v>
      </c>
      <c r="AX63" s="18">
        <f t="shared" si="50"/>
        <v>0</v>
      </c>
      <c r="AY63" s="18">
        <f t="shared" si="50"/>
        <v>0</v>
      </c>
      <c r="AZ63" s="18">
        <f t="shared" si="50"/>
        <v>0</v>
      </c>
      <c r="BA63" s="18">
        <f t="shared" si="50"/>
        <v>0</v>
      </c>
      <c r="BB63" s="18">
        <f t="shared" si="50"/>
        <v>0</v>
      </c>
      <c r="BC63" s="18">
        <f t="shared" si="50"/>
        <v>6</v>
      </c>
      <c r="BD63" s="18">
        <f t="shared" si="50"/>
        <v>0</v>
      </c>
      <c r="BE63" s="18">
        <f t="shared" si="50"/>
        <v>0</v>
      </c>
      <c r="BF63" s="18">
        <f t="shared" si="50"/>
        <v>0</v>
      </c>
      <c r="BG63" s="18">
        <f t="shared" si="50"/>
        <v>0</v>
      </c>
      <c r="BH63" s="18">
        <f t="shared" si="50"/>
        <v>0</v>
      </c>
      <c r="BI63" s="18">
        <f t="shared" si="50"/>
        <v>7</v>
      </c>
      <c r="BJ63" s="18">
        <f t="shared" si="50"/>
        <v>0</v>
      </c>
      <c r="BK63" s="18">
        <f t="shared" si="50"/>
        <v>0</v>
      </c>
      <c r="BL63" s="18">
        <f t="shared" si="50"/>
        <v>0</v>
      </c>
      <c r="BM63" s="18">
        <f t="shared" si="50"/>
        <v>0</v>
      </c>
      <c r="BN63" s="18">
        <f t="shared" si="50"/>
        <v>0</v>
      </c>
      <c r="BO63" s="18">
        <f t="shared" si="50"/>
        <v>8</v>
      </c>
      <c r="BP63" s="18">
        <f t="shared" si="50"/>
        <v>0</v>
      </c>
      <c r="BQ63" s="18">
        <f t="shared" si="50"/>
        <v>0</v>
      </c>
      <c r="BR63" s="18">
        <f t="shared" si="50"/>
        <v>0</v>
      </c>
      <c r="BS63" s="18">
        <f t="shared" si="50"/>
        <v>0</v>
      </c>
      <c r="BT63" s="18">
        <f t="shared" si="50"/>
        <v>0</v>
      </c>
      <c r="BU63" s="18">
        <f t="shared" si="50"/>
        <v>9</v>
      </c>
      <c r="BV63" s="18">
        <f t="shared" si="50"/>
        <v>0</v>
      </c>
      <c r="BW63" s="18">
        <f t="shared" si="50"/>
        <v>0</v>
      </c>
      <c r="BX63" s="18">
        <f t="shared" si="50"/>
        <v>0</v>
      </c>
      <c r="BY63" s="18">
        <f t="shared" si="50"/>
        <v>0</v>
      </c>
      <c r="BZ63" s="18">
        <f t="shared" si="50"/>
        <v>0</v>
      </c>
      <c r="CA63" s="18">
        <f t="shared" si="50"/>
        <v>10</v>
      </c>
      <c r="CB63" s="18">
        <f t="shared" si="50"/>
        <v>0</v>
      </c>
      <c r="CC63" s="18">
        <f t="shared" si="50"/>
        <v>0</v>
      </c>
      <c r="CD63" s="18">
        <f t="shared" si="50"/>
        <v>0</v>
      </c>
      <c r="CE63" s="18">
        <f t="shared" si="50"/>
        <v>0</v>
      </c>
      <c r="CF63" s="18">
        <f t="shared" ref="CF63:EQ63" si="51">IF(CF66=DATE(YEAR($C$27),MONTH($C$27)+6,DAY($C$27)),1,IF(AND(BZ63&gt;0,BZ63&lt;$C54,CF66&gt;=DATE(YEAR($C$27),MONTH($C$27)+6,DAY($C$27)-1)),BZ63+1,0))+IF(AND(CF65=DATE(YEAR($C51),MONTH($C51)+6,DAY($C51))),1,0)</f>
        <v>0</v>
      </c>
      <c r="CG63" s="18">
        <f t="shared" si="51"/>
        <v>11</v>
      </c>
      <c r="CH63" s="18">
        <f t="shared" si="51"/>
        <v>0</v>
      </c>
      <c r="CI63" s="18">
        <f t="shared" si="51"/>
        <v>0</v>
      </c>
      <c r="CJ63" s="18">
        <f t="shared" si="51"/>
        <v>0</v>
      </c>
      <c r="CK63" s="18">
        <f t="shared" si="51"/>
        <v>0</v>
      </c>
      <c r="CL63" s="18">
        <f t="shared" si="51"/>
        <v>0</v>
      </c>
      <c r="CM63" s="18">
        <f t="shared" si="51"/>
        <v>12</v>
      </c>
      <c r="CN63" s="18">
        <f t="shared" si="51"/>
        <v>0</v>
      </c>
      <c r="CO63" s="18">
        <f t="shared" si="51"/>
        <v>0</v>
      </c>
      <c r="CP63" s="18">
        <f t="shared" si="51"/>
        <v>0</v>
      </c>
      <c r="CQ63" s="18">
        <f t="shared" si="51"/>
        <v>0</v>
      </c>
      <c r="CR63" s="18">
        <f t="shared" si="51"/>
        <v>0</v>
      </c>
      <c r="CS63" s="18">
        <f t="shared" si="51"/>
        <v>13</v>
      </c>
      <c r="CT63" s="18">
        <f t="shared" si="51"/>
        <v>0</v>
      </c>
      <c r="CU63" s="18">
        <f t="shared" si="51"/>
        <v>0</v>
      </c>
      <c r="CV63" s="18">
        <f t="shared" si="51"/>
        <v>0</v>
      </c>
      <c r="CW63" s="18">
        <f t="shared" si="51"/>
        <v>0</v>
      </c>
      <c r="CX63" s="18">
        <f t="shared" si="51"/>
        <v>0</v>
      </c>
      <c r="CY63" s="18">
        <f t="shared" si="51"/>
        <v>14</v>
      </c>
      <c r="CZ63" s="18">
        <f t="shared" si="51"/>
        <v>0</v>
      </c>
      <c r="DA63" s="18">
        <f t="shared" si="51"/>
        <v>0</v>
      </c>
      <c r="DB63" s="18">
        <f t="shared" si="51"/>
        <v>0</v>
      </c>
      <c r="DC63" s="18">
        <f t="shared" si="51"/>
        <v>0</v>
      </c>
      <c r="DD63" s="18">
        <f t="shared" si="51"/>
        <v>0</v>
      </c>
      <c r="DE63" s="18">
        <f t="shared" si="51"/>
        <v>15</v>
      </c>
      <c r="DF63" s="18">
        <f t="shared" si="51"/>
        <v>0</v>
      </c>
      <c r="DG63" s="18">
        <f t="shared" si="51"/>
        <v>0</v>
      </c>
      <c r="DH63" s="18">
        <f t="shared" si="51"/>
        <v>0</v>
      </c>
      <c r="DI63" s="18">
        <f t="shared" si="51"/>
        <v>0</v>
      </c>
      <c r="DJ63" s="18">
        <f t="shared" si="51"/>
        <v>0</v>
      </c>
      <c r="DK63" s="18">
        <f t="shared" si="51"/>
        <v>16</v>
      </c>
      <c r="DL63" s="18">
        <f t="shared" si="51"/>
        <v>0</v>
      </c>
      <c r="DM63" s="18">
        <f t="shared" si="51"/>
        <v>0</v>
      </c>
      <c r="DN63" s="18">
        <f t="shared" si="51"/>
        <v>0</v>
      </c>
      <c r="DO63" s="18">
        <f t="shared" si="51"/>
        <v>0</v>
      </c>
      <c r="DP63" s="18">
        <f t="shared" si="51"/>
        <v>0</v>
      </c>
      <c r="DQ63" s="18">
        <f t="shared" si="51"/>
        <v>17</v>
      </c>
      <c r="DR63" s="18">
        <f t="shared" si="51"/>
        <v>0</v>
      </c>
      <c r="DS63" s="18">
        <f t="shared" si="51"/>
        <v>0</v>
      </c>
      <c r="DT63" s="18">
        <f t="shared" si="51"/>
        <v>0</v>
      </c>
      <c r="DU63" s="18">
        <f t="shared" si="51"/>
        <v>0</v>
      </c>
      <c r="DV63" s="18">
        <f t="shared" si="51"/>
        <v>0</v>
      </c>
      <c r="DW63" s="18">
        <f t="shared" si="51"/>
        <v>18</v>
      </c>
      <c r="DX63" s="18">
        <f t="shared" si="51"/>
        <v>0</v>
      </c>
      <c r="DY63" s="18">
        <f t="shared" si="51"/>
        <v>0</v>
      </c>
      <c r="DZ63" s="18">
        <f t="shared" si="51"/>
        <v>0</v>
      </c>
      <c r="EA63" s="18">
        <f t="shared" si="51"/>
        <v>0</v>
      </c>
      <c r="EB63" s="18">
        <f t="shared" si="51"/>
        <v>0</v>
      </c>
      <c r="EC63" s="18">
        <f t="shared" si="51"/>
        <v>0</v>
      </c>
      <c r="ED63" s="18">
        <f t="shared" si="51"/>
        <v>0</v>
      </c>
      <c r="EE63" s="18">
        <f t="shared" si="51"/>
        <v>0</v>
      </c>
      <c r="EF63" s="18">
        <f t="shared" si="51"/>
        <v>0</v>
      </c>
      <c r="EG63" s="18">
        <f t="shared" si="51"/>
        <v>0</v>
      </c>
      <c r="EH63" s="18">
        <f t="shared" si="51"/>
        <v>0</v>
      </c>
      <c r="EI63" s="18">
        <f t="shared" si="51"/>
        <v>0</v>
      </c>
      <c r="EJ63" s="18">
        <f t="shared" si="51"/>
        <v>0</v>
      </c>
      <c r="EK63" s="18">
        <f t="shared" si="51"/>
        <v>0</v>
      </c>
      <c r="EL63" s="18">
        <f t="shared" si="51"/>
        <v>0</v>
      </c>
      <c r="EM63" s="18">
        <f t="shared" si="51"/>
        <v>0</v>
      </c>
      <c r="EN63" s="18">
        <f t="shared" si="51"/>
        <v>0</v>
      </c>
      <c r="EO63" s="18">
        <f t="shared" si="51"/>
        <v>0</v>
      </c>
      <c r="EP63" s="18">
        <f t="shared" si="51"/>
        <v>0</v>
      </c>
      <c r="EQ63" s="18">
        <f t="shared" si="51"/>
        <v>0</v>
      </c>
    </row>
    <row r="64" spans="1:147" ht="15.75" x14ac:dyDescent="0.25">
      <c r="A64" s="380" t="s">
        <v>281</v>
      </c>
      <c r="B64" s="274"/>
      <c r="C64" s="383" t="s">
        <v>45</v>
      </c>
      <c r="D64" s="266">
        <v>2020</v>
      </c>
      <c r="E64" s="267">
        <v>2020</v>
      </c>
      <c r="F64" s="267">
        <v>2020</v>
      </c>
      <c r="G64" s="267">
        <v>2020</v>
      </c>
      <c r="H64" s="267">
        <v>2020</v>
      </c>
      <c r="I64" s="267">
        <v>2020</v>
      </c>
      <c r="J64" s="267">
        <v>2020</v>
      </c>
      <c r="K64" s="267">
        <v>2020</v>
      </c>
      <c r="L64" s="267">
        <v>2020</v>
      </c>
      <c r="M64" s="267">
        <v>2020</v>
      </c>
      <c r="N64" s="267">
        <v>2020</v>
      </c>
      <c r="O64" s="267">
        <v>2020</v>
      </c>
      <c r="P64" s="267">
        <f>O64+1</f>
        <v>2021</v>
      </c>
      <c r="Q64" s="267">
        <f t="shared" ref="Q64:AA64" si="52">P64</f>
        <v>2021</v>
      </c>
      <c r="R64" s="267">
        <f t="shared" si="52"/>
        <v>2021</v>
      </c>
      <c r="S64" s="267">
        <f t="shared" si="52"/>
        <v>2021</v>
      </c>
      <c r="T64" s="267">
        <f t="shared" si="52"/>
        <v>2021</v>
      </c>
      <c r="U64" s="267">
        <f t="shared" si="52"/>
        <v>2021</v>
      </c>
      <c r="V64" s="267">
        <f t="shared" si="52"/>
        <v>2021</v>
      </c>
      <c r="W64" s="267">
        <f t="shared" si="52"/>
        <v>2021</v>
      </c>
      <c r="X64" s="267">
        <f t="shared" si="52"/>
        <v>2021</v>
      </c>
      <c r="Y64" s="267">
        <f t="shared" si="52"/>
        <v>2021</v>
      </c>
      <c r="Z64" s="267">
        <f t="shared" si="52"/>
        <v>2021</v>
      </c>
      <c r="AA64" s="267">
        <f t="shared" si="52"/>
        <v>2021</v>
      </c>
      <c r="AB64" s="267">
        <f>AA64+1</f>
        <v>2022</v>
      </c>
      <c r="AC64" s="267">
        <f t="shared" ref="AC64:AM64" si="53">AB64</f>
        <v>2022</v>
      </c>
      <c r="AD64" s="267">
        <f t="shared" si="53"/>
        <v>2022</v>
      </c>
      <c r="AE64" s="267">
        <f t="shared" si="53"/>
        <v>2022</v>
      </c>
      <c r="AF64" s="267">
        <f t="shared" si="53"/>
        <v>2022</v>
      </c>
      <c r="AG64" s="267">
        <f t="shared" si="53"/>
        <v>2022</v>
      </c>
      <c r="AH64" s="267">
        <f t="shared" si="53"/>
        <v>2022</v>
      </c>
      <c r="AI64" s="267">
        <f t="shared" si="53"/>
        <v>2022</v>
      </c>
      <c r="AJ64" s="267">
        <f t="shared" si="53"/>
        <v>2022</v>
      </c>
      <c r="AK64" s="267">
        <f t="shared" si="53"/>
        <v>2022</v>
      </c>
      <c r="AL64" s="267">
        <f t="shared" si="53"/>
        <v>2022</v>
      </c>
      <c r="AM64" s="267">
        <f t="shared" si="53"/>
        <v>2022</v>
      </c>
      <c r="AN64" s="267">
        <f>AM64+1</f>
        <v>2023</v>
      </c>
      <c r="AO64" s="267">
        <f t="shared" ref="AO64:AY64" si="54">AN64</f>
        <v>2023</v>
      </c>
      <c r="AP64" s="267">
        <f t="shared" si="54"/>
        <v>2023</v>
      </c>
      <c r="AQ64" s="267">
        <f t="shared" si="54"/>
        <v>2023</v>
      </c>
      <c r="AR64" s="267">
        <f t="shared" si="54"/>
        <v>2023</v>
      </c>
      <c r="AS64" s="267">
        <f t="shared" si="54"/>
        <v>2023</v>
      </c>
      <c r="AT64" s="267">
        <f t="shared" si="54"/>
        <v>2023</v>
      </c>
      <c r="AU64" s="267">
        <f t="shared" si="54"/>
        <v>2023</v>
      </c>
      <c r="AV64" s="267">
        <f t="shared" si="54"/>
        <v>2023</v>
      </c>
      <c r="AW64" s="267">
        <f t="shared" si="54"/>
        <v>2023</v>
      </c>
      <c r="AX64" s="267">
        <f t="shared" si="54"/>
        <v>2023</v>
      </c>
      <c r="AY64" s="267">
        <f t="shared" si="54"/>
        <v>2023</v>
      </c>
      <c r="AZ64" s="267">
        <f>AY64+1</f>
        <v>2024</v>
      </c>
      <c r="BA64" s="267">
        <f t="shared" ref="BA64:BK64" si="55">AZ64</f>
        <v>2024</v>
      </c>
      <c r="BB64" s="267">
        <f t="shared" si="55"/>
        <v>2024</v>
      </c>
      <c r="BC64" s="267">
        <f t="shared" si="55"/>
        <v>2024</v>
      </c>
      <c r="BD64" s="267">
        <f t="shared" si="55"/>
        <v>2024</v>
      </c>
      <c r="BE64" s="267">
        <f t="shared" si="55"/>
        <v>2024</v>
      </c>
      <c r="BF64" s="267">
        <f t="shared" si="55"/>
        <v>2024</v>
      </c>
      <c r="BG64" s="267">
        <f t="shared" si="55"/>
        <v>2024</v>
      </c>
      <c r="BH64" s="267">
        <f t="shared" si="55"/>
        <v>2024</v>
      </c>
      <c r="BI64" s="267">
        <f t="shared" si="55"/>
        <v>2024</v>
      </c>
      <c r="BJ64" s="267">
        <f t="shared" si="55"/>
        <v>2024</v>
      </c>
      <c r="BK64" s="267">
        <f t="shared" si="55"/>
        <v>2024</v>
      </c>
      <c r="BL64" s="267">
        <f>BK64+1</f>
        <v>2025</v>
      </c>
      <c r="BM64" s="267">
        <f t="shared" ref="BM64:BW64" si="56">BL64</f>
        <v>2025</v>
      </c>
      <c r="BN64" s="267">
        <f t="shared" si="56"/>
        <v>2025</v>
      </c>
      <c r="BO64" s="267">
        <f t="shared" si="56"/>
        <v>2025</v>
      </c>
      <c r="BP64" s="267">
        <f t="shared" si="56"/>
        <v>2025</v>
      </c>
      <c r="BQ64" s="267">
        <f t="shared" si="56"/>
        <v>2025</v>
      </c>
      <c r="BR64" s="267">
        <f t="shared" si="56"/>
        <v>2025</v>
      </c>
      <c r="BS64" s="267">
        <f t="shared" si="56"/>
        <v>2025</v>
      </c>
      <c r="BT64" s="267">
        <f t="shared" si="56"/>
        <v>2025</v>
      </c>
      <c r="BU64" s="267">
        <f t="shared" si="56"/>
        <v>2025</v>
      </c>
      <c r="BV64" s="267">
        <f t="shared" si="56"/>
        <v>2025</v>
      </c>
      <c r="BW64" s="267">
        <f t="shared" si="56"/>
        <v>2025</v>
      </c>
      <c r="BX64" s="267">
        <f>BW64+1</f>
        <v>2026</v>
      </c>
      <c r="BY64" s="267">
        <f t="shared" ref="BY64:CI64" si="57">BX64</f>
        <v>2026</v>
      </c>
      <c r="BZ64" s="267">
        <f t="shared" si="57"/>
        <v>2026</v>
      </c>
      <c r="CA64" s="267">
        <f t="shared" si="57"/>
        <v>2026</v>
      </c>
      <c r="CB64" s="267">
        <f t="shared" si="57"/>
        <v>2026</v>
      </c>
      <c r="CC64" s="267">
        <f t="shared" si="57"/>
        <v>2026</v>
      </c>
      <c r="CD64" s="267">
        <f t="shared" si="57"/>
        <v>2026</v>
      </c>
      <c r="CE64" s="267">
        <f t="shared" si="57"/>
        <v>2026</v>
      </c>
      <c r="CF64" s="267">
        <f t="shared" si="57"/>
        <v>2026</v>
      </c>
      <c r="CG64" s="267">
        <f t="shared" si="57"/>
        <v>2026</v>
      </c>
      <c r="CH64" s="267">
        <f t="shared" si="57"/>
        <v>2026</v>
      </c>
      <c r="CI64" s="267">
        <f t="shared" si="57"/>
        <v>2026</v>
      </c>
      <c r="CJ64" s="267">
        <f>CI64+1</f>
        <v>2027</v>
      </c>
      <c r="CK64" s="267">
        <f t="shared" ref="CK64:CU64" si="58">CJ64</f>
        <v>2027</v>
      </c>
      <c r="CL64" s="267">
        <f t="shared" si="58"/>
        <v>2027</v>
      </c>
      <c r="CM64" s="267">
        <f t="shared" si="58"/>
        <v>2027</v>
      </c>
      <c r="CN64" s="267">
        <f t="shared" si="58"/>
        <v>2027</v>
      </c>
      <c r="CO64" s="267">
        <f t="shared" si="58"/>
        <v>2027</v>
      </c>
      <c r="CP64" s="267">
        <f t="shared" si="58"/>
        <v>2027</v>
      </c>
      <c r="CQ64" s="267">
        <f t="shared" si="58"/>
        <v>2027</v>
      </c>
      <c r="CR64" s="267">
        <f t="shared" si="58"/>
        <v>2027</v>
      </c>
      <c r="CS64" s="267">
        <f t="shared" si="58"/>
        <v>2027</v>
      </c>
      <c r="CT64" s="267">
        <f t="shared" si="58"/>
        <v>2027</v>
      </c>
      <c r="CU64" s="267">
        <f t="shared" si="58"/>
        <v>2027</v>
      </c>
      <c r="CV64" s="267">
        <f>CU64+1</f>
        <v>2028</v>
      </c>
      <c r="CW64" s="267">
        <f t="shared" ref="CW64:DG64" si="59">CV64</f>
        <v>2028</v>
      </c>
      <c r="CX64" s="267">
        <f t="shared" si="59"/>
        <v>2028</v>
      </c>
      <c r="CY64" s="267">
        <f t="shared" si="59"/>
        <v>2028</v>
      </c>
      <c r="CZ64" s="267">
        <f t="shared" si="59"/>
        <v>2028</v>
      </c>
      <c r="DA64" s="267">
        <f t="shared" si="59"/>
        <v>2028</v>
      </c>
      <c r="DB64" s="267">
        <f t="shared" si="59"/>
        <v>2028</v>
      </c>
      <c r="DC64" s="267">
        <f t="shared" si="59"/>
        <v>2028</v>
      </c>
      <c r="DD64" s="267">
        <f t="shared" si="59"/>
        <v>2028</v>
      </c>
      <c r="DE64" s="267">
        <f t="shared" si="59"/>
        <v>2028</v>
      </c>
      <c r="DF64" s="267">
        <f t="shared" si="59"/>
        <v>2028</v>
      </c>
      <c r="DG64" s="267">
        <f t="shared" si="59"/>
        <v>2028</v>
      </c>
      <c r="DH64" s="267">
        <f>DG64+1</f>
        <v>2029</v>
      </c>
      <c r="DI64" s="267">
        <f t="shared" ref="DI64:DS64" si="60">DH64</f>
        <v>2029</v>
      </c>
      <c r="DJ64" s="267">
        <f t="shared" si="60"/>
        <v>2029</v>
      </c>
      <c r="DK64" s="267">
        <f t="shared" si="60"/>
        <v>2029</v>
      </c>
      <c r="DL64" s="267">
        <f t="shared" si="60"/>
        <v>2029</v>
      </c>
      <c r="DM64" s="267">
        <f t="shared" si="60"/>
        <v>2029</v>
      </c>
      <c r="DN64" s="267">
        <f t="shared" si="60"/>
        <v>2029</v>
      </c>
      <c r="DO64" s="267">
        <f t="shared" si="60"/>
        <v>2029</v>
      </c>
      <c r="DP64" s="267">
        <f t="shared" si="60"/>
        <v>2029</v>
      </c>
      <c r="DQ64" s="267">
        <f t="shared" si="60"/>
        <v>2029</v>
      </c>
      <c r="DR64" s="267">
        <f t="shared" si="60"/>
        <v>2029</v>
      </c>
      <c r="DS64" s="267">
        <f t="shared" si="60"/>
        <v>2029</v>
      </c>
      <c r="DT64" s="267">
        <f>DS64+1</f>
        <v>2030</v>
      </c>
      <c r="DU64" s="267">
        <f t="shared" ref="DU64:EE64" si="61">DT64</f>
        <v>2030</v>
      </c>
      <c r="DV64" s="267">
        <f t="shared" si="61"/>
        <v>2030</v>
      </c>
      <c r="DW64" s="267">
        <f t="shared" si="61"/>
        <v>2030</v>
      </c>
      <c r="DX64" s="267">
        <f t="shared" si="61"/>
        <v>2030</v>
      </c>
      <c r="DY64" s="267">
        <f t="shared" si="61"/>
        <v>2030</v>
      </c>
      <c r="DZ64" s="267">
        <f t="shared" si="61"/>
        <v>2030</v>
      </c>
      <c r="EA64" s="267">
        <f t="shared" si="61"/>
        <v>2030</v>
      </c>
      <c r="EB64" s="267">
        <f t="shared" si="61"/>
        <v>2030</v>
      </c>
      <c r="EC64" s="267">
        <f t="shared" si="61"/>
        <v>2030</v>
      </c>
      <c r="ED64" s="267">
        <f t="shared" si="61"/>
        <v>2030</v>
      </c>
      <c r="EE64" s="267">
        <f t="shared" si="61"/>
        <v>2030</v>
      </c>
      <c r="EF64" s="267">
        <f>EE64+1</f>
        <v>2031</v>
      </c>
      <c r="EG64" s="267">
        <f t="shared" ref="EG64:EQ64" si="62">EF64</f>
        <v>2031</v>
      </c>
      <c r="EH64" s="267">
        <f t="shared" si="62"/>
        <v>2031</v>
      </c>
      <c r="EI64" s="267">
        <f t="shared" si="62"/>
        <v>2031</v>
      </c>
      <c r="EJ64" s="267">
        <f t="shared" si="62"/>
        <v>2031</v>
      </c>
      <c r="EK64" s="267">
        <f t="shared" si="62"/>
        <v>2031</v>
      </c>
      <c r="EL64" s="267">
        <f t="shared" si="62"/>
        <v>2031</v>
      </c>
      <c r="EM64" s="267">
        <f t="shared" si="62"/>
        <v>2031</v>
      </c>
      <c r="EN64" s="267">
        <f t="shared" si="62"/>
        <v>2031</v>
      </c>
      <c r="EO64" s="267">
        <f t="shared" si="62"/>
        <v>2031</v>
      </c>
      <c r="EP64" s="267">
        <f t="shared" si="62"/>
        <v>2031</v>
      </c>
      <c r="EQ64" s="268">
        <f t="shared" si="62"/>
        <v>2031</v>
      </c>
    </row>
    <row r="65" spans="1:147" ht="15.75" x14ac:dyDescent="0.25">
      <c r="A65" s="381"/>
      <c r="B65" s="275"/>
      <c r="C65" s="384"/>
      <c r="D65" s="269">
        <f>DATE(D64,1,1)</f>
        <v>43831</v>
      </c>
      <c r="E65" s="270">
        <f>DATE(E64,2,1)</f>
        <v>43862</v>
      </c>
      <c r="F65" s="270">
        <f>DATE(F64,3,1)</f>
        <v>43891</v>
      </c>
      <c r="G65" s="270">
        <f>DATE(G64,4,1)</f>
        <v>43922</v>
      </c>
      <c r="H65" s="270">
        <f>DATE(H64,5,1)</f>
        <v>43952</v>
      </c>
      <c r="I65" s="270">
        <f>DATE(I64,6,1)</f>
        <v>43983</v>
      </c>
      <c r="J65" s="270">
        <f>DATE(J64,7,1)</f>
        <v>44013</v>
      </c>
      <c r="K65" s="270">
        <f>DATE(K64,8,1)</f>
        <v>44044</v>
      </c>
      <c r="L65" s="270">
        <f>DATE(L64,9,1)</f>
        <v>44075</v>
      </c>
      <c r="M65" s="270">
        <f>DATE(M64,10,1)</f>
        <v>44105</v>
      </c>
      <c r="N65" s="270">
        <f>DATE(N64,11,1)</f>
        <v>44136</v>
      </c>
      <c r="O65" s="270">
        <f>DATE(O64,12,1)</f>
        <v>44166</v>
      </c>
      <c r="P65" s="270">
        <f>DATE(P64,1,1)</f>
        <v>44197</v>
      </c>
      <c r="Q65" s="270">
        <f>DATE(Q64,2,1)</f>
        <v>44228</v>
      </c>
      <c r="R65" s="270">
        <f>DATE(R64,3,1)</f>
        <v>44256</v>
      </c>
      <c r="S65" s="270">
        <f>DATE(S64,4,1)</f>
        <v>44287</v>
      </c>
      <c r="T65" s="270">
        <f>DATE(T64,5,1)</f>
        <v>44317</v>
      </c>
      <c r="U65" s="270">
        <f>DATE(U64,6,1)</f>
        <v>44348</v>
      </c>
      <c r="V65" s="270">
        <f>DATE(V64,7,1)</f>
        <v>44378</v>
      </c>
      <c r="W65" s="270">
        <f>DATE(W64,8,1)</f>
        <v>44409</v>
      </c>
      <c r="X65" s="270">
        <f>DATE(X64,9,1)</f>
        <v>44440</v>
      </c>
      <c r="Y65" s="270">
        <f>DATE(Y64,10,1)</f>
        <v>44470</v>
      </c>
      <c r="Z65" s="270">
        <f>DATE(Z64,11,1)</f>
        <v>44501</v>
      </c>
      <c r="AA65" s="270">
        <f>DATE(AA64,12,1)</f>
        <v>44531</v>
      </c>
      <c r="AB65" s="270">
        <f>DATE(AB64,1,1)</f>
        <v>44562</v>
      </c>
      <c r="AC65" s="270">
        <f>DATE(AC64,2,1)</f>
        <v>44593</v>
      </c>
      <c r="AD65" s="270">
        <f>DATE(AD64,3,1)</f>
        <v>44621</v>
      </c>
      <c r="AE65" s="270">
        <f>DATE(AE64,4,1)</f>
        <v>44652</v>
      </c>
      <c r="AF65" s="270">
        <f>DATE(AF64,5,1)</f>
        <v>44682</v>
      </c>
      <c r="AG65" s="270">
        <f>DATE(AG64,6,1)</f>
        <v>44713</v>
      </c>
      <c r="AH65" s="270">
        <f>DATE(AH64,7,1)</f>
        <v>44743</v>
      </c>
      <c r="AI65" s="270">
        <f>DATE(AI64,8,1)</f>
        <v>44774</v>
      </c>
      <c r="AJ65" s="270">
        <f>DATE(AJ64,9,1)</f>
        <v>44805</v>
      </c>
      <c r="AK65" s="270">
        <f>DATE(AK64,10,1)</f>
        <v>44835</v>
      </c>
      <c r="AL65" s="270">
        <f>DATE(AL64,11,1)</f>
        <v>44866</v>
      </c>
      <c r="AM65" s="270">
        <f>DATE(AM64,12,1)</f>
        <v>44896</v>
      </c>
      <c r="AN65" s="270">
        <f>DATE(AN64,1,1)</f>
        <v>44927</v>
      </c>
      <c r="AO65" s="270">
        <f>DATE(AO64,2,1)</f>
        <v>44958</v>
      </c>
      <c r="AP65" s="270">
        <f>DATE(AP64,3,1)</f>
        <v>44986</v>
      </c>
      <c r="AQ65" s="270">
        <f>DATE(AQ64,4,1)</f>
        <v>45017</v>
      </c>
      <c r="AR65" s="270">
        <f>DATE(AR64,5,1)</f>
        <v>45047</v>
      </c>
      <c r="AS65" s="270">
        <f>DATE(AS64,6,1)</f>
        <v>45078</v>
      </c>
      <c r="AT65" s="270">
        <f>DATE(AT64,7,1)</f>
        <v>45108</v>
      </c>
      <c r="AU65" s="270">
        <f>DATE(AU64,8,1)</f>
        <v>45139</v>
      </c>
      <c r="AV65" s="270">
        <f>DATE(AV64,9,1)</f>
        <v>45170</v>
      </c>
      <c r="AW65" s="270">
        <f>DATE(AW64,10,1)</f>
        <v>45200</v>
      </c>
      <c r="AX65" s="270">
        <f>DATE(AX64,11,1)</f>
        <v>45231</v>
      </c>
      <c r="AY65" s="270">
        <f>DATE(AY64,12,1)</f>
        <v>45261</v>
      </c>
      <c r="AZ65" s="270">
        <f>DATE(AZ64,1,1)</f>
        <v>45292</v>
      </c>
      <c r="BA65" s="270">
        <f>DATE(BA64,2,1)</f>
        <v>45323</v>
      </c>
      <c r="BB65" s="270">
        <f>DATE(BB64,3,1)</f>
        <v>45352</v>
      </c>
      <c r="BC65" s="270">
        <f>DATE(BC64,4,1)</f>
        <v>45383</v>
      </c>
      <c r="BD65" s="270">
        <f>DATE(BD64,5,1)</f>
        <v>45413</v>
      </c>
      <c r="BE65" s="270">
        <f>DATE(BE64,6,1)</f>
        <v>45444</v>
      </c>
      <c r="BF65" s="270">
        <f>DATE(BF64,7,1)</f>
        <v>45474</v>
      </c>
      <c r="BG65" s="270">
        <f>DATE(BG64,8,1)</f>
        <v>45505</v>
      </c>
      <c r="BH65" s="270">
        <f>DATE(BH64,9,1)</f>
        <v>45536</v>
      </c>
      <c r="BI65" s="270">
        <f>DATE(BI64,10,1)</f>
        <v>45566</v>
      </c>
      <c r="BJ65" s="270">
        <f>DATE(BJ64,11,1)</f>
        <v>45597</v>
      </c>
      <c r="BK65" s="270">
        <f>DATE(BK64,12,1)</f>
        <v>45627</v>
      </c>
      <c r="BL65" s="270">
        <f>DATE(BL64,1,1)</f>
        <v>45658</v>
      </c>
      <c r="BM65" s="270">
        <f>DATE(BM64,2,1)</f>
        <v>45689</v>
      </c>
      <c r="BN65" s="270">
        <f>DATE(BN64,3,1)</f>
        <v>45717</v>
      </c>
      <c r="BO65" s="270">
        <f>DATE(BO64,4,1)</f>
        <v>45748</v>
      </c>
      <c r="BP65" s="270">
        <f>DATE(BP64,5,1)</f>
        <v>45778</v>
      </c>
      <c r="BQ65" s="270">
        <f>DATE(BQ64,6,1)</f>
        <v>45809</v>
      </c>
      <c r="BR65" s="270">
        <f>DATE(BR64,7,1)</f>
        <v>45839</v>
      </c>
      <c r="BS65" s="270">
        <f>DATE(BS64,8,1)</f>
        <v>45870</v>
      </c>
      <c r="BT65" s="270">
        <f>DATE(BT64,9,1)</f>
        <v>45901</v>
      </c>
      <c r="BU65" s="270">
        <f>DATE(BU64,10,1)</f>
        <v>45931</v>
      </c>
      <c r="BV65" s="270">
        <f>DATE(BV64,11,1)</f>
        <v>45962</v>
      </c>
      <c r="BW65" s="270">
        <f>DATE(BW64,12,1)</f>
        <v>45992</v>
      </c>
      <c r="BX65" s="270">
        <f>DATE(BX64,1,1)</f>
        <v>46023</v>
      </c>
      <c r="BY65" s="270">
        <f>DATE(BY64,2,1)</f>
        <v>46054</v>
      </c>
      <c r="BZ65" s="270">
        <f>DATE(BZ64,3,1)</f>
        <v>46082</v>
      </c>
      <c r="CA65" s="270">
        <f>DATE(CA64,4,1)</f>
        <v>46113</v>
      </c>
      <c r="CB65" s="270">
        <f>DATE(CB64,5,1)</f>
        <v>46143</v>
      </c>
      <c r="CC65" s="270">
        <f>DATE(CC64,6,1)</f>
        <v>46174</v>
      </c>
      <c r="CD65" s="270">
        <f>DATE(CD64,7,1)</f>
        <v>46204</v>
      </c>
      <c r="CE65" s="270">
        <f>DATE(CE64,8,1)</f>
        <v>46235</v>
      </c>
      <c r="CF65" s="270">
        <f>DATE(CF64,9,1)</f>
        <v>46266</v>
      </c>
      <c r="CG65" s="270">
        <f>DATE(CG64,10,1)</f>
        <v>46296</v>
      </c>
      <c r="CH65" s="270">
        <f>DATE(CH64,11,1)</f>
        <v>46327</v>
      </c>
      <c r="CI65" s="270">
        <f>DATE(CI64,12,1)</f>
        <v>46357</v>
      </c>
      <c r="CJ65" s="270">
        <f>DATE(CJ64,1,1)</f>
        <v>46388</v>
      </c>
      <c r="CK65" s="270">
        <f>DATE(CK64,2,1)</f>
        <v>46419</v>
      </c>
      <c r="CL65" s="270">
        <f>DATE(CL64,3,1)</f>
        <v>46447</v>
      </c>
      <c r="CM65" s="270">
        <f>DATE(CM64,4,1)</f>
        <v>46478</v>
      </c>
      <c r="CN65" s="270">
        <f>DATE(CN64,5,1)</f>
        <v>46508</v>
      </c>
      <c r="CO65" s="270">
        <f>DATE(CO64,6,1)</f>
        <v>46539</v>
      </c>
      <c r="CP65" s="270">
        <f>DATE(CP64,7,1)</f>
        <v>46569</v>
      </c>
      <c r="CQ65" s="270">
        <f>DATE(CQ64,8,1)</f>
        <v>46600</v>
      </c>
      <c r="CR65" s="270">
        <f>DATE(CR64,9,1)</f>
        <v>46631</v>
      </c>
      <c r="CS65" s="270">
        <f>DATE(CS64,10,1)</f>
        <v>46661</v>
      </c>
      <c r="CT65" s="270">
        <f>DATE(CT64,11,1)</f>
        <v>46692</v>
      </c>
      <c r="CU65" s="270">
        <f>DATE(CU64,12,1)</f>
        <v>46722</v>
      </c>
      <c r="CV65" s="270">
        <f>DATE(CV64,1,1)</f>
        <v>46753</v>
      </c>
      <c r="CW65" s="270">
        <f>DATE(CW64,2,1)</f>
        <v>46784</v>
      </c>
      <c r="CX65" s="270">
        <f>DATE(CX64,3,1)</f>
        <v>46813</v>
      </c>
      <c r="CY65" s="270">
        <f>DATE(CY64,4,1)</f>
        <v>46844</v>
      </c>
      <c r="CZ65" s="270">
        <f>DATE(CZ64,5,1)</f>
        <v>46874</v>
      </c>
      <c r="DA65" s="270">
        <f>DATE(DA64,6,1)</f>
        <v>46905</v>
      </c>
      <c r="DB65" s="270">
        <f>DATE(DB64,7,1)</f>
        <v>46935</v>
      </c>
      <c r="DC65" s="270">
        <f>DATE(DC64,8,1)</f>
        <v>46966</v>
      </c>
      <c r="DD65" s="270">
        <f>DATE(DD64,9,1)</f>
        <v>46997</v>
      </c>
      <c r="DE65" s="270">
        <f>DATE(DE64,10,1)</f>
        <v>47027</v>
      </c>
      <c r="DF65" s="270">
        <f>DATE(DF64,11,1)</f>
        <v>47058</v>
      </c>
      <c r="DG65" s="270">
        <f>DATE(DG64,12,1)</f>
        <v>47088</v>
      </c>
      <c r="DH65" s="270">
        <f>DATE(DH64,1,1)</f>
        <v>47119</v>
      </c>
      <c r="DI65" s="270">
        <f>DATE(DI64,2,1)</f>
        <v>47150</v>
      </c>
      <c r="DJ65" s="270">
        <f>DATE(DJ64,3,1)</f>
        <v>47178</v>
      </c>
      <c r="DK65" s="270">
        <f>DATE(DK64,4,1)</f>
        <v>47209</v>
      </c>
      <c r="DL65" s="270">
        <f>DATE(DL64,5,1)</f>
        <v>47239</v>
      </c>
      <c r="DM65" s="270">
        <f>DATE(DM64,6,1)</f>
        <v>47270</v>
      </c>
      <c r="DN65" s="270">
        <f>DATE(DN64,7,1)</f>
        <v>47300</v>
      </c>
      <c r="DO65" s="270">
        <f>DATE(DO64,8,1)</f>
        <v>47331</v>
      </c>
      <c r="DP65" s="270">
        <f>DATE(DP64,9,1)</f>
        <v>47362</v>
      </c>
      <c r="DQ65" s="270">
        <f>DATE(DQ64,10,1)</f>
        <v>47392</v>
      </c>
      <c r="DR65" s="270">
        <f>DATE(DR64,11,1)</f>
        <v>47423</v>
      </c>
      <c r="DS65" s="270">
        <f>DATE(DS64,12,1)</f>
        <v>47453</v>
      </c>
      <c r="DT65" s="270">
        <f>DATE(DT64,1,1)</f>
        <v>47484</v>
      </c>
      <c r="DU65" s="270">
        <f>DATE(DU64,2,1)</f>
        <v>47515</v>
      </c>
      <c r="DV65" s="270">
        <f>DATE(DV64,3,1)</f>
        <v>47543</v>
      </c>
      <c r="DW65" s="270">
        <f>DATE(DW64,4,1)</f>
        <v>47574</v>
      </c>
      <c r="DX65" s="270">
        <f>DATE(DX64,5,1)</f>
        <v>47604</v>
      </c>
      <c r="DY65" s="270">
        <f>DATE(DY64,6,1)</f>
        <v>47635</v>
      </c>
      <c r="DZ65" s="270">
        <f>DATE(DZ64,7,1)</f>
        <v>47665</v>
      </c>
      <c r="EA65" s="270">
        <f>DATE(EA64,8,1)</f>
        <v>47696</v>
      </c>
      <c r="EB65" s="270">
        <f>DATE(EB64,9,1)</f>
        <v>47727</v>
      </c>
      <c r="EC65" s="270">
        <f>DATE(EC64,10,1)</f>
        <v>47757</v>
      </c>
      <c r="ED65" s="270">
        <f>DATE(ED64,11,1)</f>
        <v>47788</v>
      </c>
      <c r="EE65" s="270">
        <f>DATE(EE64,12,1)</f>
        <v>47818</v>
      </c>
      <c r="EF65" s="270">
        <f>DATE(EF64,1,1)</f>
        <v>47849</v>
      </c>
      <c r="EG65" s="270">
        <f>DATE(EG64,2,1)</f>
        <v>47880</v>
      </c>
      <c r="EH65" s="270">
        <f>DATE(EH64,3,1)</f>
        <v>47908</v>
      </c>
      <c r="EI65" s="270">
        <f>DATE(EI64,4,1)</f>
        <v>47939</v>
      </c>
      <c r="EJ65" s="270">
        <f>DATE(EJ64,5,1)</f>
        <v>47969</v>
      </c>
      <c r="EK65" s="270">
        <f>DATE(EK64,6,1)</f>
        <v>48000</v>
      </c>
      <c r="EL65" s="270">
        <f>DATE(EL64,7,1)</f>
        <v>48030</v>
      </c>
      <c r="EM65" s="270">
        <f>DATE(EM64,8,1)</f>
        <v>48061</v>
      </c>
      <c r="EN65" s="270">
        <f>DATE(EN64,9,1)</f>
        <v>48092</v>
      </c>
      <c r="EO65" s="270">
        <f>DATE(EO64,10,1)</f>
        <v>48122</v>
      </c>
      <c r="EP65" s="270">
        <f>DATE(EP64,11,1)</f>
        <v>48153</v>
      </c>
      <c r="EQ65" s="271">
        <f>DATE(EQ64,12,1)</f>
        <v>48183</v>
      </c>
    </row>
    <row r="66" spans="1:147" ht="15.75" x14ac:dyDescent="0.25">
      <c r="A66" s="382"/>
      <c r="B66" s="276"/>
      <c r="C66" s="385"/>
      <c r="D66" s="272">
        <f>DATE(D64,1,31)</f>
        <v>43861</v>
      </c>
      <c r="E66" s="272">
        <f>DATE(E64,2,29)</f>
        <v>43890</v>
      </c>
      <c r="F66" s="272">
        <f>DATE(F64,3,31)</f>
        <v>43921</v>
      </c>
      <c r="G66" s="272">
        <f>DATE(G64,4,30)</f>
        <v>43951</v>
      </c>
      <c r="H66" s="272">
        <f>DATE(H64,5,31)</f>
        <v>43982</v>
      </c>
      <c r="I66" s="272">
        <f>DATE(I64,6,30)</f>
        <v>44012</v>
      </c>
      <c r="J66" s="272">
        <f>DATE(J64,7,31)</f>
        <v>44043</v>
      </c>
      <c r="K66" s="272">
        <f>DATE(K64,8,31)</f>
        <v>44074</v>
      </c>
      <c r="L66" s="272">
        <f>DATE(L64,9,30)</f>
        <v>44104</v>
      </c>
      <c r="M66" s="272">
        <f>DATE(M64,10,31)</f>
        <v>44135</v>
      </c>
      <c r="N66" s="272">
        <f>DATE(N64,11,30)</f>
        <v>44165</v>
      </c>
      <c r="O66" s="272">
        <f>DATE(O64,12,31)</f>
        <v>44196</v>
      </c>
      <c r="P66" s="272">
        <f>DATE(P64,1,31)</f>
        <v>44227</v>
      </c>
      <c r="Q66" s="272">
        <f>DATE(Q64,2,28)</f>
        <v>44255</v>
      </c>
      <c r="R66" s="272">
        <f>DATE(R64,3,31)</f>
        <v>44286</v>
      </c>
      <c r="S66" s="272">
        <f>DATE(S64,4,30)</f>
        <v>44316</v>
      </c>
      <c r="T66" s="272">
        <f>DATE(T64,5,31)</f>
        <v>44347</v>
      </c>
      <c r="U66" s="272">
        <f>DATE(U64,6,30)</f>
        <v>44377</v>
      </c>
      <c r="V66" s="272">
        <f>DATE(V64,7,31)</f>
        <v>44408</v>
      </c>
      <c r="W66" s="272">
        <f>DATE(W64,8,31)</f>
        <v>44439</v>
      </c>
      <c r="X66" s="272">
        <f>DATE(X64,9,30)</f>
        <v>44469</v>
      </c>
      <c r="Y66" s="272">
        <f>DATE(Y64,10,31)</f>
        <v>44500</v>
      </c>
      <c r="Z66" s="272">
        <f>DATE(Z64,11,30)</f>
        <v>44530</v>
      </c>
      <c r="AA66" s="272">
        <f>DATE(AA64,12,31)</f>
        <v>44561</v>
      </c>
      <c r="AB66" s="272">
        <f>DATE(AB64,1,31)</f>
        <v>44592</v>
      </c>
      <c r="AC66" s="272">
        <f>DATE(AC64,2,28)</f>
        <v>44620</v>
      </c>
      <c r="AD66" s="272">
        <f>DATE(AD64,3,31)</f>
        <v>44651</v>
      </c>
      <c r="AE66" s="272">
        <f>DATE(AE64,4,30)</f>
        <v>44681</v>
      </c>
      <c r="AF66" s="272">
        <f>DATE(AF64,5,31)</f>
        <v>44712</v>
      </c>
      <c r="AG66" s="272">
        <f>DATE(AG64,6,30)</f>
        <v>44742</v>
      </c>
      <c r="AH66" s="272">
        <f>DATE(AH64,7,31)</f>
        <v>44773</v>
      </c>
      <c r="AI66" s="272">
        <f>DATE(AI64,8,31)</f>
        <v>44804</v>
      </c>
      <c r="AJ66" s="272">
        <f>DATE(AJ64,9,30)</f>
        <v>44834</v>
      </c>
      <c r="AK66" s="272">
        <f>DATE(AK64,10,31)</f>
        <v>44865</v>
      </c>
      <c r="AL66" s="272">
        <f>DATE(AL64,11,30)</f>
        <v>44895</v>
      </c>
      <c r="AM66" s="272">
        <f>DATE(AM64,12,31)</f>
        <v>44926</v>
      </c>
      <c r="AN66" s="272">
        <f>DATE(AN64,1,31)</f>
        <v>44957</v>
      </c>
      <c r="AO66" s="272">
        <f>DATE(AO64,2,28)</f>
        <v>44985</v>
      </c>
      <c r="AP66" s="272">
        <f>DATE(AP64,3,31)</f>
        <v>45016</v>
      </c>
      <c r="AQ66" s="272">
        <f>DATE(AQ64,4,30)</f>
        <v>45046</v>
      </c>
      <c r="AR66" s="272">
        <f>DATE(AR64,5,31)</f>
        <v>45077</v>
      </c>
      <c r="AS66" s="272">
        <f>DATE(AS64,6,30)</f>
        <v>45107</v>
      </c>
      <c r="AT66" s="272">
        <f>DATE(AT64,7,31)</f>
        <v>45138</v>
      </c>
      <c r="AU66" s="272">
        <f>DATE(AU64,8,31)</f>
        <v>45169</v>
      </c>
      <c r="AV66" s="272">
        <f>DATE(AV64,9,30)</f>
        <v>45199</v>
      </c>
      <c r="AW66" s="272">
        <f>DATE(AW64,10,31)</f>
        <v>45230</v>
      </c>
      <c r="AX66" s="272">
        <f>DATE(AX64,11,30)</f>
        <v>45260</v>
      </c>
      <c r="AY66" s="272">
        <f>DATE(AY64,12,31)</f>
        <v>45291</v>
      </c>
      <c r="AZ66" s="272">
        <f>DATE(AZ64,1,31)</f>
        <v>45322</v>
      </c>
      <c r="BA66" s="272">
        <f>DATE(BA64,2,29)</f>
        <v>45351</v>
      </c>
      <c r="BB66" s="272">
        <f>DATE(BB64,3,31)</f>
        <v>45382</v>
      </c>
      <c r="BC66" s="272">
        <f>DATE(BC64,4,30)</f>
        <v>45412</v>
      </c>
      <c r="BD66" s="272">
        <f>DATE(BD64,5,31)</f>
        <v>45443</v>
      </c>
      <c r="BE66" s="272">
        <f>DATE(BE64,6,30)</f>
        <v>45473</v>
      </c>
      <c r="BF66" s="272">
        <f>DATE(BF64,7,31)</f>
        <v>45504</v>
      </c>
      <c r="BG66" s="272">
        <f>DATE(BG64,8,31)</f>
        <v>45535</v>
      </c>
      <c r="BH66" s="272">
        <f>DATE(BH64,9,30)</f>
        <v>45565</v>
      </c>
      <c r="BI66" s="272">
        <f>DATE(BI64,10,31)</f>
        <v>45596</v>
      </c>
      <c r="BJ66" s="272">
        <f>DATE(BJ64,11,30)</f>
        <v>45626</v>
      </c>
      <c r="BK66" s="272">
        <f>DATE(BK64,12,31)</f>
        <v>45657</v>
      </c>
      <c r="BL66" s="272">
        <f>DATE(BL64,1,31)</f>
        <v>45688</v>
      </c>
      <c r="BM66" s="272">
        <f>DATE(BM64,2,28)</f>
        <v>45716</v>
      </c>
      <c r="BN66" s="272">
        <f>DATE(BN64,3,31)</f>
        <v>45747</v>
      </c>
      <c r="BO66" s="272">
        <f>DATE(BO64,4,30)</f>
        <v>45777</v>
      </c>
      <c r="BP66" s="272">
        <f>DATE(BP64,5,31)</f>
        <v>45808</v>
      </c>
      <c r="BQ66" s="272">
        <f>DATE(BQ64,6,30)</f>
        <v>45838</v>
      </c>
      <c r="BR66" s="272">
        <f>DATE(BR64,7,31)</f>
        <v>45869</v>
      </c>
      <c r="BS66" s="272">
        <f>DATE(BS64,8,31)</f>
        <v>45900</v>
      </c>
      <c r="BT66" s="272">
        <f>DATE(BT64,9,30)</f>
        <v>45930</v>
      </c>
      <c r="BU66" s="272">
        <f>DATE(BU64,10,31)</f>
        <v>45961</v>
      </c>
      <c r="BV66" s="272">
        <f>DATE(BV64,11,30)</f>
        <v>45991</v>
      </c>
      <c r="BW66" s="272">
        <f>DATE(BW64,12,31)</f>
        <v>46022</v>
      </c>
      <c r="BX66" s="272">
        <f>DATE(BX64,1,31)</f>
        <v>46053</v>
      </c>
      <c r="BY66" s="272">
        <f>DATE(BY64,2,28)</f>
        <v>46081</v>
      </c>
      <c r="BZ66" s="272">
        <f>DATE(BZ64,3,31)</f>
        <v>46112</v>
      </c>
      <c r="CA66" s="272">
        <f>DATE(CA64,4,30)</f>
        <v>46142</v>
      </c>
      <c r="CB66" s="272">
        <f>DATE(CB64,5,31)</f>
        <v>46173</v>
      </c>
      <c r="CC66" s="272">
        <f>DATE(CC64,6,30)</f>
        <v>46203</v>
      </c>
      <c r="CD66" s="272">
        <f>DATE(CD64,7,31)</f>
        <v>46234</v>
      </c>
      <c r="CE66" s="272">
        <f>DATE(CE64,8,31)</f>
        <v>46265</v>
      </c>
      <c r="CF66" s="272">
        <f>DATE(CF64,9,30)</f>
        <v>46295</v>
      </c>
      <c r="CG66" s="272">
        <f>DATE(CG64,10,31)</f>
        <v>46326</v>
      </c>
      <c r="CH66" s="272">
        <f>DATE(CH64,11,30)</f>
        <v>46356</v>
      </c>
      <c r="CI66" s="272">
        <f>DATE(CI64,12,31)</f>
        <v>46387</v>
      </c>
      <c r="CJ66" s="272">
        <f>DATE(CJ64,1,31)</f>
        <v>46418</v>
      </c>
      <c r="CK66" s="272">
        <f>DATE(CK64,2,28)</f>
        <v>46446</v>
      </c>
      <c r="CL66" s="272">
        <f>DATE(CL64,3,31)</f>
        <v>46477</v>
      </c>
      <c r="CM66" s="272">
        <f>DATE(CM64,4,30)</f>
        <v>46507</v>
      </c>
      <c r="CN66" s="272">
        <f>DATE(CN64,5,31)</f>
        <v>46538</v>
      </c>
      <c r="CO66" s="272">
        <f>DATE(CO64,6,30)</f>
        <v>46568</v>
      </c>
      <c r="CP66" s="272">
        <f>DATE(CP64,7,31)</f>
        <v>46599</v>
      </c>
      <c r="CQ66" s="272">
        <f>DATE(CQ64,8,31)</f>
        <v>46630</v>
      </c>
      <c r="CR66" s="272">
        <f>DATE(CR64,9,30)</f>
        <v>46660</v>
      </c>
      <c r="CS66" s="272">
        <f>DATE(CS64,10,31)</f>
        <v>46691</v>
      </c>
      <c r="CT66" s="272">
        <f>DATE(CT64,11,30)</f>
        <v>46721</v>
      </c>
      <c r="CU66" s="272">
        <f>DATE(CU64,12,31)</f>
        <v>46752</v>
      </c>
      <c r="CV66" s="272">
        <f>DATE(CV64,1,31)</f>
        <v>46783</v>
      </c>
      <c r="CW66" s="272">
        <f>DATE(CW64,2,29)</f>
        <v>46812</v>
      </c>
      <c r="CX66" s="272">
        <f>DATE(CX64,3,31)</f>
        <v>46843</v>
      </c>
      <c r="CY66" s="272">
        <f>DATE(CY64,4,30)</f>
        <v>46873</v>
      </c>
      <c r="CZ66" s="272">
        <f>DATE(CZ64,5,31)</f>
        <v>46904</v>
      </c>
      <c r="DA66" s="272">
        <f>DATE(DA64,6,30)</f>
        <v>46934</v>
      </c>
      <c r="DB66" s="272">
        <f>DATE(DB64,7,31)</f>
        <v>46965</v>
      </c>
      <c r="DC66" s="272">
        <f>DATE(DC64,8,31)</f>
        <v>46996</v>
      </c>
      <c r="DD66" s="272">
        <f>DATE(DD64,9,30)</f>
        <v>47026</v>
      </c>
      <c r="DE66" s="272">
        <f>DATE(DE64,10,31)</f>
        <v>47057</v>
      </c>
      <c r="DF66" s="272">
        <f>DATE(DF64,11,30)</f>
        <v>47087</v>
      </c>
      <c r="DG66" s="272">
        <f>DATE(DG64,12,31)</f>
        <v>47118</v>
      </c>
      <c r="DH66" s="272">
        <f>DATE(DH64,1,31)</f>
        <v>47149</v>
      </c>
      <c r="DI66" s="272">
        <f>DATE(DI64,2,28)</f>
        <v>47177</v>
      </c>
      <c r="DJ66" s="272">
        <f>DATE(DJ64,3,31)</f>
        <v>47208</v>
      </c>
      <c r="DK66" s="272">
        <f>DATE(DK64,4,30)</f>
        <v>47238</v>
      </c>
      <c r="DL66" s="272">
        <f>DATE(DL64,5,31)</f>
        <v>47269</v>
      </c>
      <c r="DM66" s="272">
        <f>DATE(DM64,6,30)</f>
        <v>47299</v>
      </c>
      <c r="DN66" s="272">
        <f>DATE(DN64,7,31)</f>
        <v>47330</v>
      </c>
      <c r="DO66" s="272">
        <f>DATE(DO64,8,31)</f>
        <v>47361</v>
      </c>
      <c r="DP66" s="272">
        <f>DATE(DP64,9,30)</f>
        <v>47391</v>
      </c>
      <c r="DQ66" s="272">
        <f>DATE(DQ64,10,31)</f>
        <v>47422</v>
      </c>
      <c r="DR66" s="272">
        <f>DATE(DR64,11,30)</f>
        <v>47452</v>
      </c>
      <c r="DS66" s="272">
        <f>DATE(DS64,12,31)</f>
        <v>47483</v>
      </c>
      <c r="DT66" s="272">
        <f>DATE(DT64,1,31)</f>
        <v>47514</v>
      </c>
      <c r="DU66" s="272">
        <f>DATE(DU64,2,28)</f>
        <v>47542</v>
      </c>
      <c r="DV66" s="272">
        <f>DATE(DV64,3,31)</f>
        <v>47573</v>
      </c>
      <c r="DW66" s="272">
        <f>DATE(DW64,4,30)</f>
        <v>47603</v>
      </c>
      <c r="DX66" s="272">
        <f>DATE(DX64,5,31)</f>
        <v>47634</v>
      </c>
      <c r="DY66" s="272">
        <f>DATE(DY64,6,30)</f>
        <v>47664</v>
      </c>
      <c r="DZ66" s="272">
        <f>DATE(DZ64,7,31)</f>
        <v>47695</v>
      </c>
      <c r="EA66" s="272">
        <f>DATE(EA64,8,31)</f>
        <v>47726</v>
      </c>
      <c r="EB66" s="272">
        <f>DATE(EB64,9,30)</f>
        <v>47756</v>
      </c>
      <c r="EC66" s="272">
        <f>DATE(EC64,10,31)</f>
        <v>47787</v>
      </c>
      <c r="ED66" s="272">
        <f>DATE(ED64,11,30)</f>
        <v>47817</v>
      </c>
      <c r="EE66" s="272">
        <f>DATE(EE64,12,31)</f>
        <v>47848</v>
      </c>
      <c r="EF66" s="272">
        <f>DATE(EF64,1,31)</f>
        <v>47879</v>
      </c>
      <c r="EG66" s="272">
        <f>DATE(EG64,2,28)</f>
        <v>47907</v>
      </c>
      <c r="EH66" s="272">
        <f>DATE(EH64,3,31)</f>
        <v>47938</v>
      </c>
      <c r="EI66" s="272">
        <f>DATE(EI64,4,30)</f>
        <v>47968</v>
      </c>
      <c r="EJ66" s="272">
        <f>DATE(EJ64,5,31)</f>
        <v>47999</v>
      </c>
      <c r="EK66" s="272">
        <f>DATE(EK64,6,30)</f>
        <v>48029</v>
      </c>
      <c r="EL66" s="272">
        <f>DATE(EL64,7,31)</f>
        <v>48060</v>
      </c>
      <c r="EM66" s="272">
        <f>DATE(EM64,8,31)</f>
        <v>48091</v>
      </c>
      <c r="EN66" s="272">
        <f>DATE(EN64,9,30)</f>
        <v>48121</v>
      </c>
      <c r="EO66" s="272">
        <f>DATE(EO64,10,31)</f>
        <v>48152</v>
      </c>
      <c r="EP66" s="272">
        <f>DATE(EP64,11,30)</f>
        <v>48182</v>
      </c>
      <c r="EQ66" s="273">
        <f>DATE(EQ64,12,31)</f>
        <v>48213</v>
      </c>
    </row>
    <row r="67" spans="1:147" x14ac:dyDescent="0.25">
      <c r="A67" s="218" t="s">
        <v>353</v>
      </c>
      <c r="B67" s="219"/>
      <c r="C67" s="221">
        <f>SUM(D67:EQ67)</f>
        <v>4588218.0623076102</v>
      </c>
      <c r="D67" s="221">
        <f t="shared" ref="D67:BA67" si="63">IF(AND(D63&gt;0,OR(J63&gt;1,J63=0),D66&gt;=DATE(YEAR($B$41)+1,MONTH($B$41),DAY($B$41))),PPMT($C60,D63,$C54,-$C52),0)</f>
        <v>0</v>
      </c>
      <c r="E67" s="221">
        <f t="shared" si="63"/>
        <v>0</v>
      </c>
      <c r="F67" s="221">
        <f t="shared" si="63"/>
        <v>0</v>
      </c>
      <c r="G67" s="221">
        <f t="shared" si="63"/>
        <v>0</v>
      </c>
      <c r="H67" s="221">
        <f t="shared" si="63"/>
        <v>0</v>
      </c>
      <c r="I67" s="221">
        <f t="shared" si="63"/>
        <v>0</v>
      </c>
      <c r="J67" s="221">
        <f t="shared" si="63"/>
        <v>0</v>
      </c>
      <c r="K67" s="221">
        <f t="shared" si="63"/>
        <v>0</v>
      </c>
      <c r="L67" s="221">
        <f t="shared" si="63"/>
        <v>0</v>
      </c>
      <c r="M67" s="221">
        <f t="shared" si="63"/>
        <v>0</v>
      </c>
      <c r="N67" s="221">
        <f t="shared" si="63"/>
        <v>0</v>
      </c>
      <c r="O67" s="221">
        <f t="shared" si="63"/>
        <v>0</v>
      </c>
      <c r="P67" s="221">
        <f t="shared" si="63"/>
        <v>0</v>
      </c>
      <c r="Q67" s="221">
        <f t="shared" si="63"/>
        <v>0</v>
      </c>
      <c r="R67" s="221">
        <f t="shared" si="63"/>
        <v>0</v>
      </c>
      <c r="S67" s="221">
        <f t="shared" si="63"/>
        <v>0</v>
      </c>
      <c r="T67" s="221">
        <f t="shared" si="63"/>
        <v>0</v>
      </c>
      <c r="U67" s="221">
        <f t="shared" si="63"/>
        <v>0</v>
      </c>
      <c r="V67" s="221">
        <f t="shared" si="63"/>
        <v>0</v>
      </c>
      <c r="W67" s="221">
        <f t="shared" si="63"/>
        <v>0</v>
      </c>
      <c r="X67" s="221">
        <f t="shared" si="63"/>
        <v>0</v>
      </c>
      <c r="Y67" s="221">
        <f t="shared" si="63"/>
        <v>172389.61197016103</v>
      </c>
      <c r="Z67" s="221">
        <f t="shared" si="63"/>
        <v>0</v>
      </c>
      <c r="AA67" s="221">
        <f t="shared" si="63"/>
        <v>0</v>
      </c>
      <c r="AB67" s="221">
        <f t="shared" si="63"/>
        <v>0</v>
      </c>
      <c r="AC67" s="221">
        <f t="shared" si="63"/>
        <v>0</v>
      </c>
      <c r="AD67" s="221">
        <f t="shared" si="63"/>
        <v>0</v>
      </c>
      <c r="AE67" s="221">
        <f t="shared" si="63"/>
        <v>179980.03879206363</v>
      </c>
      <c r="AF67" s="221">
        <f t="shared" si="63"/>
        <v>0</v>
      </c>
      <c r="AG67" s="221">
        <f t="shared" si="63"/>
        <v>0</v>
      </c>
      <c r="AH67" s="221">
        <f t="shared" si="63"/>
        <v>0</v>
      </c>
      <c r="AI67" s="221">
        <f t="shared" si="63"/>
        <v>0</v>
      </c>
      <c r="AJ67" s="221">
        <f t="shared" si="63"/>
        <v>0</v>
      </c>
      <c r="AK67" s="221">
        <f t="shared" si="63"/>
        <v>187904.67704747559</v>
      </c>
      <c r="AL67" s="221">
        <f t="shared" si="63"/>
        <v>0</v>
      </c>
      <c r="AM67" s="221">
        <f t="shared" si="63"/>
        <v>0</v>
      </c>
      <c r="AN67" s="221">
        <f t="shared" si="63"/>
        <v>0</v>
      </c>
      <c r="AO67" s="221">
        <f t="shared" si="63"/>
        <v>0</v>
      </c>
      <c r="AP67" s="221">
        <f t="shared" si="63"/>
        <v>0</v>
      </c>
      <c r="AQ67" s="221">
        <f t="shared" si="63"/>
        <v>196178.24228334942</v>
      </c>
      <c r="AR67" s="221">
        <f t="shared" si="63"/>
        <v>0</v>
      </c>
      <c r="AS67" s="221">
        <f t="shared" si="63"/>
        <v>0</v>
      </c>
      <c r="AT67" s="221">
        <f t="shared" si="63"/>
        <v>0</v>
      </c>
      <c r="AU67" s="221">
        <f t="shared" si="63"/>
        <v>0</v>
      </c>
      <c r="AV67" s="221">
        <f t="shared" si="63"/>
        <v>0</v>
      </c>
      <c r="AW67" s="221">
        <f t="shared" si="63"/>
        <v>204816.09798174837</v>
      </c>
      <c r="AX67" s="221">
        <f t="shared" si="63"/>
        <v>0</v>
      </c>
      <c r="AY67" s="221">
        <f t="shared" si="63"/>
        <v>0</v>
      </c>
      <c r="AZ67" s="221">
        <f t="shared" si="63"/>
        <v>0</v>
      </c>
      <c r="BA67" s="221">
        <f t="shared" si="63"/>
        <v>0</v>
      </c>
      <c r="BB67" s="221">
        <f>IF(AND(BB63&gt;0,OR(BH63&gt;1,BH63=0),BB66&gt;=DATE(YEAR($B$41)+1,MONTH($B$41),DAY($B$41))),PPMT($C60,BB63,$C54,-$C52),0)</f>
        <v>0</v>
      </c>
      <c r="BC67" s="221">
        <f t="shared" ref="BC67:DN67" si="64">IF(AND(BC63&gt;0,OR(BI63&gt;1,BI63=0),BC66&gt;=DATE(YEAR($B$41)+1,MONTH($B$41),DAY($B$41))),PPMT($C60,BC63,$C54,-$C52),0)</f>
        <v>213834.28408885084</v>
      </c>
      <c r="BD67" s="221">
        <f t="shared" si="64"/>
        <v>0</v>
      </c>
      <c r="BE67" s="221">
        <f t="shared" si="64"/>
        <v>0</v>
      </c>
      <c r="BF67" s="221">
        <f t="shared" si="64"/>
        <v>0</v>
      </c>
      <c r="BG67" s="221">
        <f t="shared" si="64"/>
        <v>0</v>
      </c>
      <c r="BH67" s="221">
        <f t="shared" si="64"/>
        <v>0</v>
      </c>
      <c r="BI67" s="221">
        <f t="shared" si="64"/>
        <v>223249.54680010575</v>
      </c>
      <c r="BJ67" s="221">
        <f t="shared" si="64"/>
        <v>0</v>
      </c>
      <c r="BK67" s="221">
        <f t="shared" si="64"/>
        <v>0</v>
      </c>
      <c r="BL67" s="221">
        <f t="shared" si="64"/>
        <v>0</v>
      </c>
      <c r="BM67" s="221">
        <f t="shared" si="64"/>
        <v>0</v>
      </c>
      <c r="BN67" s="221">
        <f t="shared" si="64"/>
        <v>0</v>
      </c>
      <c r="BO67" s="221">
        <f t="shared" si="64"/>
        <v>233079.36965684744</v>
      </c>
      <c r="BP67" s="221">
        <f t="shared" si="64"/>
        <v>0</v>
      </c>
      <c r="BQ67" s="221">
        <f t="shared" si="64"/>
        <v>0</v>
      </c>
      <c r="BR67" s="221">
        <f t="shared" si="64"/>
        <v>0</v>
      </c>
      <c r="BS67" s="221">
        <f t="shared" si="64"/>
        <v>0</v>
      </c>
      <c r="BT67" s="221">
        <f t="shared" si="64"/>
        <v>0</v>
      </c>
      <c r="BU67" s="221">
        <f t="shared" si="64"/>
        <v>243342.00601211525</v>
      </c>
      <c r="BV67" s="221">
        <f t="shared" si="64"/>
        <v>0</v>
      </c>
      <c r="BW67" s="221">
        <f t="shared" si="64"/>
        <v>0</v>
      </c>
      <c r="BX67" s="221">
        <f t="shared" si="64"/>
        <v>0</v>
      </c>
      <c r="BY67" s="221">
        <f t="shared" si="64"/>
        <v>0</v>
      </c>
      <c r="BZ67" s="221">
        <f t="shared" si="64"/>
        <v>0</v>
      </c>
      <c r="CA67" s="221">
        <f t="shared" si="64"/>
        <v>254056.51292596373</v>
      </c>
      <c r="CB67" s="221">
        <f t="shared" si="64"/>
        <v>0</v>
      </c>
      <c r="CC67" s="221">
        <f t="shared" si="64"/>
        <v>0</v>
      </c>
      <c r="CD67" s="221">
        <f t="shared" si="64"/>
        <v>0</v>
      </c>
      <c r="CE67" s="221">
        <f t="shared" si="64"/>
        <v>0</v>
      </c>
      <c r="CF67" s="221">
        <f t="shared" si="64"/>
        <v>0</v>
      </c>
      <c r="CG67" s="221">
        <f t="shared" si="64"/>
        <v>265242.78655320569</v>
      </c>
      <c r="CH67" s="221">
        <f t="shared" si="64"/>
        <v>0</v>
      </c>
      <c r="CI67" s="221">
        <f t="shared" si="64"/>
        <v>0</v>
      </c>
      <c r="CJ67" s="221">
        <f t="shared" si="64"/>
        <v>0</v>
      </c>
      <c r="CK67" s="221">
        <f t="shared" si="64"/>
        <v>0</v>
      </c>
      <c r="CL67" s="221">
        <f t="shared" si="64"/>
        <v>0</v>
      </c>
      <c r="CM67" s="221">
        <f t="shared" si="64"/>
        <v>276921.59908930049</v>
      </c>
      <c r="CN67" s="221">
        <f t="shared" si="64"/>
        <v>0</v>
      </c>
      <c r="CO67" s="221">
        <f t="shared" si="64"/>
        <v>0</v>
      </c>
      <c r="CP67" s="221">
        <f t="shared" si="64"/>
        <v>0</v>
      </c>
      <c r="CQ67" s="221">
        <f t="shared" si="64"/>
        <v>0</v>
      </c>
      <c r="CR67" s="221">
        <f t="shared" si="64"/>
        <v>0</v>
      </c>
      <c r="CS67" s="221">
        <f t="shared" si="64"/>
        <v>289114.63734299422</v>
      </c>
      <c r="CT67" s="221">
        <f t="shared" si="64"/>
        <v>0</v>
      </c>
      <c r="CU67" s="221">
        <f t="shared" si="64"/>
        <v>0</v>
      </c>
      <c r="CV67" s="221">
        <f t="shared" si="64"/>
        <v>0</v>
      </c>
      <c r="CW67" s="221">
        <f t="shared" si="64"/>
        <v>0</v>
      </c>
      <c r="CX67" s="221">
        <f t="shared" si="64"/>
        <v>0</v>
      </c>
      <c r="CY67" s="221">
        <f t="shared" si="64"/>
        <v>301844.54300733755</v>
      </c>
      <c r="CZ67" s="221">
        <f t="shared" si="64"/>
        <v>0</v>
      </c>
      <c r="DA67" s="221">
        <f t="shared" si="64"/>
        <v>0</v>
      </c>
      <c r="DB67" s="221">
        <f t="shared" si="64"/>
        <v>0</v>
      </c>
      <c r="DC67" s="221">
        <f t="shared" si="64"/>
        <v>0</v>
      </c>
      <c r="DD67" s="221">
        <f t="shared" si="64"/>
        <v>0</v>
      </c>
      <c r="DE67" s="221">
        <f t="shared" si="64"/>
        <v>315134.95470386371</v>
      </c>
      <c r="DF67" s="221">
        <f t="shared" si="64"/>
        <v>0</v>
      </c>
      <c r="DG67" s="221">
        <f t="shared" si="64"/>
        <v>0</v>
      </c>
      <c r="DH67" s="221">
        <f t="shared" si="64"/>
        <v>0</v>
      </c>
      <c r="DI67" s="221">
        <f t="shared" si="64"/>
        <v>0</v>
      </c>
      <c r="DJ67" s="221">
        <f t="shared" si="64"/>
        <v>0</v>
      </c>
      <c r="DK67" s="221">
        <f t="shared" si="64"/>
        <v>329010.55187799805</v>
      </c>
      <c r="DL67" s="221">
        <f t="shared" si="64"/>
        <v>0</v>
      </c>
      <c r="DM67" s="221">
        <f t="shared" si="64"/>
        <v>0</v>
      </c>
      <c r="DN67" s="221">
        <f t="shared" si="64"/>
        <v>0</v>
      </c>
      <c r="DO67" s="221">
        <f t="shared" ref="DO67:EQ67" si="65">IF(AND(DO63&gt;0,OR(DU63&gt;1,DU63=0),DO66&gt;=DATE(YEAR($B$41)+1,MONTH($B$41),DAY($B$41))),PPMT($C60,DO63,$C54,-$C52),0)</f>
        <v>0</v>
      </c>
      <c r="DP67" s="221">
        <f t="shared" si="65"/>
        <v>0</v>
      </c>
      <c r="DQ67" s="221">
        <f t="shared" si="65"/>
        <v>343497.1006272115</v>
      </c>
      <c r="DR67" s="221">
        <f t="shared" si="65"/>
        <v>0</v>
      </c>
      <c r="DS67" s="221">
        <f t="shared" si="65"/>
        <v>0</v>
      </c>
      <c r="DT67" s="221">
        <f t="shared" si="65"/>
        <v>0</v>
      </c>
      <c r="DU67" s="221">
        <f t="shared" si="65"/>
        <v>0</v>
      </c>
      <c r="DV67" s="221">
        <f t="shared" si="65"/>
        <v>0</v>
      </c>
      <c r="DW67" s="221">
        <f t="shared" si="65"/>
        <v>358621.50154701783</v>
      </c>
      <c r="DX67" s="221">
        <f t="shared" si="65"/>
        <v>0</v>
      </c>
      <c r="DY67" s="221">
        <f t="shared" si="65"/>
        <v>0</v>
      </c>
      <c r="DZ67" s="221">
        <f t="shared" si="65"/>
        <v>0</v>
      </c>
      <c r="EA67" s="221">
        <f t="shared" si="65"/>
        <v>0</v>
      </c>
      <c r="EB67" s="221">
        <f t="shared" si="65"/>
        <v>0</v>
      </c>
      <c r="EC67" s="221">
        <f t="shared" si="65"/>
        <v>0</v>
      </c>
      <c r="ED67" s="221">
        <f t="shared" si="65"/>
        <v>0</v>
      </c>
      <c r="EE67" s="221">
        <f t="shared" si="65"/>
        <v>0</v>
      </c>
      <c r="EF67" s="221">
        <f t="shared" si="65"/>
        <v>0</v>
      </c>
      <c r="EG67" s="221">
        <f t="shared" si="65"/>
        <v>0</v>
      </c>
      <c r="EH67" s="221">
        <f t="shared" si="65"/>
        <v>0</v>
      </c>
      <c r="EI67" s="221">
        <f t="shared" si="65"/>
        <v>0</v>
      </c>
      <c r="EJ67" s="221">
        <f t="shared" si="65"/>
        <v>0</v>
      </c>
      <c r="EK67" s="221">
        <f t="shared" si="65"/>
        <v>0</v>
      </c>
      <c r="EL67" s="221">
        <f t="shared" si="65"/>
        <v>0</v>
      </c>
      <c r="EM67" s="221">
        <f t="shared" si="65"/>
        <v>0</v>
      </c>
      <c r="EN67" s="221">
        <f t="shared" si="65"/>
        <v>0</v>
      </c>
      <c r="EO67" s="221">
        <f t="shared" si="65"/>
        <v>0</v>
      </c>
      <c r="EP67" s="221">
        <f t="shared" si="65"/>
        <v>0</v>
      </c>
      <c r="EQ67" s="222">
        <f t="shared" si="65"/>
        <v>0</v>
      </c>
    </row>
    <row r="68" spans="1:147" x14ac:dyDescent="0.25">
      <c r="A68" s="226" t="s">
        <v>354</v>
      </c>
      <c r="B68" s="227"/>
      <c r="C68" s="228">
        <f>SUM(D68:EQ68)</f>
        <v>2151195.05199828</v>
      </c>
      <c r="D68" s="228">
        <f t="shared" ref="D68" si="66">IF(D63&gt;0,IPMT($C60,D63,$C54,-$C52),0)</f>
        <v>0</v>
      </c>
      <c r="E68" s="228">
        <f t="shared" ref="E68:BP68" si="67">IF(AND(E63&gt;0,E65&gt;DATE(YEAR($B$41)+1,MONTH($B$41),DAY($B$41))),IPMT($C60,E63,$C54,-$C52),0)+IF(AND(E63&gt;0,E65&lt;DATE(YEAR($B$41)+1,MONTH($B$41),DAY($B$41))),$C52*$C58,0)</f>
        <v>0</v>
      </c>
      <c r="F68" s="228">
        <f t="shared" si="67"/>
        <v>0</v>
      </c>
      <c r="G68" s="228">
        <f t="shared" si="67"/>
        <v>0</v>
      </c>
      <c r="H68" s="228">
        <f t="shared" si="67"/>
        <v>0</v>
      </c>
      <c r="I68" s="228">
        <f t="shared" si="67"/>
        <v>0</v>
      </c>
      <c r="J68" s="228">
        <f t="shared" si="67"/>
        <v>0</v>
      </c>
      <c r="K68" s="228">
        <f t="shared" si="67"/>
        <v>0</v>
      </c>
      <c r="L68" s="228">
        <f t="shared" si="67"/>
        <v>0</v>
      </c>
      <c r="M68" s="228">
        <f t="shared" si="67"/>
        <v>0</v>
      </c>
      <c r="N68" s="228">
        <f t="shared" si="67"/>
        <v>0</v>
      </c>
      <c r="O68" s="228">
        <f t="shared" si="67"/>
        <v>0</v>
      </c>
      <c r="P68" s="228">
        <f t="shared" si="67"/>
        <v>0</v>
      </c>
      <c r="Q68" s="228">
        <f t="shared" si="67"/>
        <v>0</v>
      </c>
      <c r="R68" s="228">
        <f t="shared" si="67"/>
        <v>0</v>
      </c>
      <c r="S68" s="228">
        <f t="shared" si="67"/>
        <v>0</v>
      </c>
      <c r="T68" s="228">
        <f t="shared" si="67"/>
        <v>0</v>
      </c>
      <c r="U68" s="228">
        <f t="shared" si="67"/>
        <v>0</v>
      </c>
      <c r="V68" s="228">
        <f t="shared" si="67"/>
        <v>0</v>
      </c>
      <c r="W68" s="228">
        <f t="shared" si="67"/>
        <v>0</v>
      </c>
      <c r="X68" s="228">
        <f t="shared" si="67"/>
        <v>0</v>
      </c>
      <c r="Y68" s="228">
        <f t="shared" si="67"/>
        <v>202022.22771349954</v>
      </c>
      <c r="Z68" s="228">
        <f t="shared" si="67"/>
        <v>0</v>
      </c>
      <c r="AA68" s="228">
        <f t="shared" si="67"/>
        <v>0</v>
      </c>
      <c r="AB68" s="228">
        <f t="shared" si="67"/>
        <v>0</v>
      </c>
      <c r="AC68" s="228">
        <f t="shared" si="67"/>
        <v>0</v>
      </c>
      <c r="AD68" s="228">
        <f t="shared" si="67"/>
        <v>0</v>
      </c>
      <c r="AE68" s="228">
        <f t="shared" si="67"/>
        <v>194431.80089159688</v>
      </c>
      <c r="AF68" s="228">
        <f t="shared" si="67"/>
        <v>0</v>
      </c>
      <c r="AG68" s="228">
        <f t="shared" si="67"/>
        <v>0</v>
      </c>
      <c r="AH68" s="228">
        <f t="shared" si="67"/>
        <v>0</v>
      </c>
      <c r="AI68" s="228">
        <f t="shared" si="67"/>
        <v>0</v>
      </c>
      <c r="AJ68" s="228">
        <f t="shared" si="67"/>
        <v>0</v>
      </c>
      <c r="AK68" s="228">
        <f t="shared" si="67"/>
        <v>186507.16263618504</v>
      </c>
      <c r="AL68" s="228">
        <f t="shared" si="67"/>
        <v>0</v>
      </c>
      <c r="AM68" s="228">
        <f t="shared" si="67"/>
        <v>0</v>
      </c>
      <c r="AN68" s="228">
        <f t="shared" si="67"/>
        <v>0</v>
      </c>
      <c r="AO68" s="228">
        <f t="shared" si="67"/>
        <v>0</v>
      </c>
      <c r="AP68" s="228">
        <f t="shared" si="67"/>
        <v>0</v>
      </c>
      <c r="AQ68" s="228">
        <f t="shared" si="67"/>
        <v>178233.59740031115</v>
      </c>
      <c r="AR68" s="228">
        <f t="shared" si="67"/>
        <v>0</v>
      </c>
      <c r="AS68" s="228">
        <f t="shared" si="67"/>
        <v>0</v>
      </c>
      <c r="AT68" s="228">
        <f t="shared" si="67"/>
        <v>0</v>
      </c>
      <c r="AU68" s="228">
        <f t="shared" si="67"/>
        <v>0</v>
      </c>
      <c r="AV68" s="228">
        <f t="shared" si="67"/>
        <v>0</v>
      </c>
      <c r="AW68" s="228">
        <f t="shared" si="67"/>
        <v>169595.74170191219</v>
      </c>
      <c r="AX68" s="228">
        <f t="shared" si="67"/>
        <v>0</v>
      </c>
      <c r="AY68" s="228">
        <f t="shared" si="67"/>
        <v>0</v>
      </c>
      <c r="AZ68" s="228">
        <f t="shared" si="67"/>
        <v>0</v>
      </c>
      <c r="BA68" s="228">
        <f t="shared" si="67"/>
        <v>0</v>
      </c>
      <c r="BB68" s="228">
        <f t="shared" si="67"/>
        <v>0</v>
      </c>
      <c r="BC68" s="228">
        <f t="shared" si="67"/>
        <v>160577.55559480973</v>
      </c>
      <c r="BD68" s="228">
        <f t="shared" si="67"/>
        <v>0</v>
      </c>
      <c r="BE68" s="228">
        <f t="shared" si="67"/>
        <v>0</v>
      </c>
      <c r="BF68" s="228">
        <f t="shared" si="67"/>
        <v>0</v>
      </c>
      <c r="BG68" s="228">
        <f t="shared" si="67"/>
        <v>0</v>
      </c>
      <c r="BH68" s="228">
        <f t="shared" si="67"/>
        <v>0</v>
      </c>
      <c r="BI68" s="228">
        <f t="shared" si="67"/>
        <v>151162.29288355482</v>
      </c>
      <c r="BJ68" s="228">
        <f t="shared" si="67"/>
        <v>0</v>
      </c>
      <c r="BK68" s="228">
        <f t="shared" si="67"/>
        <v>0</v>
      </c>
      <c r="BL68" s="228">
        <f t="shared" si="67"/>
        <v>0</v>
      </c>
      <c r="BM68" s="228">
        <f t="shared" si="67"/>
        <v>0</v>
      </c>
      <c r="BN68" s="228">
        <f t="shared" si="67"/>
        <v>0</v>
      </c>
      <c r="BO68" s="228">
        <f t="shared" si="67"/>
        <v>141332.4700268131</v>
      </c>
      <c r="BP68" s="228">
        <f t="shared" si="67"/>
        <v>0</v>
      </c>
      <c r="BQ68" s="228">
        <f t="shared" ref="BQ68:BS68" si="68">IF(AND(BQ63&gt;0,BQ65&gt;DATE(YEAR($B$41)+1,MONTH($B$41),DAY($B$41))),IPMT($C60,BQ63,$C54,-$C52),0)+IF(AND(BQ63&gt;0,BQ65&lt;DATE(YEAR($B$41)+1,MONTH($B$41),DAY($B$41))),$C52*$C58,0)</f>
        <v>0</v>
      </c>
      <c r="BR68" s="228">
        <f t="shared" si="68"/>
        <v>0</v>
      </c>
      <c r="BS68" s="228">
        <f t="shared" si="68"/>
        <v>0</v>
      </c>
      <c r="BT68" s="228">
        <f>IF(AND(BT63&gt;0,BT65&gt;DATE(YEAR($B$41)+1,MONTH($B$41),DAY($B$41))),IPMT($C60,BT63,$C54,-$C52),0)+IF(AND(BT63&gt;0,BT65&lt;DATE(YEAR($B$41)+1,MONTH($B$41),DAY($B$41))),$C52*$C58,0)</f>
        <v>0</v>
      </c>
      <c r="BU68" s="228">
        <f t="shared" ref="BU68:EF68" si="69">IF(AND(BU63&gt;0,BU65&gt;DATE(YEAR($B$41)+1,MONTH($B$41),DAY($B$41))),IPMT($C60,BU63,$C54,-$C52),0)+IF(AND(BU63&gt;0,BU65&lt;DATE(YEAR($B$41)+1,MONTH($B$41),DAY($B$41))),$C52*$C58,0)</f>
        <v>131069.83367154529</v>
      </c>
      <c r="BV68" s="228">
        <f t="shared" si="69"/>
        <v>0</v>
      </c>
      <c r="BW68" s="228">
        <f t="shared" si="69"/>
        <v>0</v>
      </c>
      <c r="BX68" s="228">
        <f t="shared" si="69"/>
        <v>0</v>
      </c>
      <c r="BY68" s="228">
        <f t="shared" si="69"/>
        <v>0</v>
      </c>
      <c r="BZ68" s="228">
        <f t="shared" si="69"/>
        <v>0</v>
      </c>
      <c r="CA68" s="228">
        <f t="shared" si="69"/>
        <v>120355.32675769682</v>
      </c>
      <c r="CB68" s="228">
        <f t="shared" si="69"/>
        <v>0</v>
      </c>
      <c r="CC68" s="228">
        <f t="shared" si="69"/>
        <v>0</v>
      </c>
      <c r="CD68" s="228">
        <f t="shared" si="69"/>
        <v>0</v>
      </c>
      <c r="CE68" s="228">
        <f t="shared" si="69"/>
        <v>0</v>
      </c>
      <c r="CF68" s="228">
        <f t="shared" si="69"/>
        <v>0</v>
      </c>
      <c r="CG68" s="228">
        <f t="shared" si="69"/>
        <v>109169.05313045488</v>
      </c>
      <c r="CH68" s="228">
        <f t="shared" si="69"/>
        <v>0</v>
      </c>
      <c r="CI68" s="228">
        <f t="shared" si="69"/>
        <v>0</v>
      </c>
      <c r="CJ68" s="228">
        <f t="shared" si="69"/>
        <v>0</v>
      </c>
      <c r="CK68" s="228">
        <f t="shared" si="69"/>
        <v>0</v>
      </c>
      <c r="CL68" s="228">
        <f t="shared" si="69"/>
        <v>0</v>
      </c>
      <c r="CM68" s="228">
        <f t="shared" si="69"/>
        <v>97490.240594360061</v>
      </c>
      <c r="CN68" s="228">
        <f t="shared" si="69"/>
        <v>0</v>
      </c>
      <c r="CO68" s="228">
        <f t="shared" si="69"/>
        <v>0</v>
      </c>
      <c r="CP68" s="228">
        <f t="shared" si="69"/>
        <v>0</v>
      </c>
      <c r="CQ68" s="228">
        <f t="shared" si="69"/>
        <v>0</v>
      </c>
      <c r="CR68" s="228">
        <f t="shared" si="69"/>
        <v>0</v>
      </c>
      <c r="CS68" s="228">
        <f t="shared" si="69"/>
        <v>85297.20234066635</v>
      </c>
      <c r="CT68" s="228">
        <f t="shared" si="69"/>
        <v>0</v>
      </c>
      <c r="CU68" s="228">
        <f t="shared" si="69"/>
        <v>0</v>
      </c>
      <c r="CV68" s="228">
        <f t="shared" si="69"/>
        <v>0</v>
      </c>
      <c r="CW68" s="228">
        <f t="shared" si="69"/>
        <v>0</v>
      </c>
      <c r="CX68" s="228">
        <f t="shared" si="69"/>
        <v>0</v>
      </c>
      <c r="CY68" s="228">
        <f t="shared" si="69"/>
        <v>72567.296676322963</v>
      </c>
      <c r="CZ68" s="228">
        <f t="shared" si="69"/>
        <v>0</v>
      </c>
      <c r="DA68" s="228">
        <f t="shared" si="69"/>
        <v>0</v>
      </c>
      <c r="DB68" s="228">
        <f t="shared" si="69"/>
        <v>0</v>
      </c>
      <c r="DC68" s="228">
        <f t="shared" si="69"/>
        <v>0</v>
      </c>
      <c r="DD68" s="228">
        <f t="shared" si="69"/>
        <v>0</v>
      </c>
      <c r="DE68" s="228">
        <f t="shared" si="69"/>
        <v>59276.884979796836</v>
      </c>
      <c r="DF68" s="228">
        <f t="shared" si="69"/>
        <v>0</v>
      </c>
      <c r="DG68" s="228">
        <f t="shared" si="69"/>
        <v>0</v>
      </c>
      <c r="DH68" s="228">
        <f t="shared" si="69"/>
        <v>0</v>
      </c>
      <c r="DI68" s="228">
        <f t="shared" si="69"/>
        <v>0</v>
      </c>
      <c r="DJ68" s="228">
        <f t="shared" si="69"/>
        <v>0</v>
      </c>
      <c r="DK68" s="228">
        <f t="shared" si="69"/>
        <v>45401.287805662563</v>
      </c>
      <c r="DL68" s="228">
        <f t="shared" si="69"/>
        <v>0</v>
      </c>
      <c r="DM68" s="228">
        <f t="shared" si="69"/>
        <v>0</v>
      </c>
      <c r="DN68" s="228">
        <f t="shared" si="69"/>
        <v>0</v>
      </c>
      <c r="DO68" s="228">
        <f t="shared" si="69"/>
        <v>0</v>
      </c>
      <c r="DP68" s="228">
        <f t="shared" si="69"/>
        <v>0</v>
      </c>
      <c r="DQ68" s="228">
        <f t="shared" si="69"/>
        <v>30914.739056449071</v>
      </c>
      <c r="DR68" s="228">
        <f t="shared" si="69"/>
        <v>0</v>
      </c>
      <c r="DS68" s="228">
        <f t="shared" si="69"/>
        <v>0</v>
      </c>
      <c r="DT68" s="228">
        <f t="shared" si="69"/>
        <v>0</v>
      </c>
      <c r="DU68" s="228">
        <f t="shared" si="69"/>
        <v>0</v>
      </c>
      <c r="DV68" s="228">
        <f t="shared" si="69"/>
        <v>0</v>
      </c>
      <c r="DW68" s="228">
        <f t="shared" si="69"/>
        <v>15790.338136642707</v>
      </c>
      <c r="DX68" s="228">
        <f t="shared" si="69"/>
        <v>0</v>
      </c>
      <c r="DY68" s="228">
        <f t="shared" si="69"/>
        <v>0</v>
      </c>
      <c r="DZ68" s="228">
        <f t="shared" si="69"/>
        <v>0</v>
      </c>
      <c r="EA68" s="228">
        <f t="shared" si="69"/>
        <v>0</v>
      </c>
      <c r="EB68" s="228">
        <f t="shared" si="69"/>
        <v>0</v>
      </c>
      <c r="EC68" s="228">
        <f t="shared" si="69"/>
        <v>0</v>
      </c>
      <c r="ED68" s="228">
        <f t="shared" si="69"/>
        <v>0</v>
      </c>
      <c r="EE68" s="228">
        <f t="shared" si="69"/>
        <v>0</v>
      </c>
      <c r="EF68" s="228">
        <f t="shared" si="69"/>
        <v>0</v>
      </c>
      <c r="EG68" s="228">
        <f t="shared" ref="EG68:EQ68" si="70">IF(AND(EG63&gt;0,EG65&gt;DATE(YEAR($B$41)+1,MONTH($B$41),DAY($B$41))),IPMT($C60,EG63,$C54,-$C52),0)+IF(AND(EG63&gt;0,EG65&lt;DATE(YEAR($B$41)+1,MONTH($B$41),DAY($B$41))),$C52*$C58,0)</f>
        <v>0</v>
      </c>
      <c r="EH68" s="228">
        <f t="shared" si="70"/>
        <v>0</v>
      </c>
      <c r="EI68" s="228">
        <f t="shared" si="70"/>
        <v>0</v>
      </c>
      <c r="EJ68" s="228">
        <f t="shared" si="70"/>
        <v>0</v>
      </c>
      <c r="EK68" s="228">
        <f t="shared" si="70"/>
        <v>0</v>
      </c>
      <c r="EL68" s="228">
        <f t="shared" si="70"/>
        <v>0</v>
      </c>
      <c r="EM68" s="228">
        <f t="shared" si="70"/>
        <v>0</v>
      </c>
      <c r="EN68" s="228">
        <f t="shared" si="70"/>
        <v>0</v>
      </c>
      <c r="EO68" s="228">
        <f t="shared" si="70"/>
        <v>0</v>
      </c>
      <c r="EP68" s="228">
        <f t="shared" si="70"/>
        <v>0</v>
      </c>
      <c r="EQ68" s="229">
        <f t="shared" si="70"/>
        <v>0</v>
      </c>
    </row>
    <row r="69" spans="1:147" x14ac:dyDescent="0.25">
      <c r="A69" s="226" t="s">
        <v>355</v>
      </c>
      <c r="B69" s="227"/>
      <c r="C69" s="228">
        <f>SUM(D69:EQ69)</f>
        <v>22941.09031153805</v>
      </c>
      <c r="D69" s="228">
        <f t="shared" ref="D69:BO69" si="71">IF(D65=$C51,$C52*$C62,0)</f>
        <v>0</v>
      </c>
      <c r="E69" s="228">
        <f t="shared" si="71"/>
        <v>0</v>
      </c>
      <c r="F69" s="228">
        <f t="shared" si="71"/>
        <v>0</v>
      </c>
      <c r="G69" s="228">
        <f t="shared" si="71"/>
        <v>0</v>
      </c>
      <c r="H69" s="228">
        <f t="shared" si="71"/>
        <v>0</v>
      </c>
      <c r="I69" s="228">
        <f t="shared" si="71"/>
        <v>0</v>
      </c>
      <c r="J69" s="228">
        <f t="shared" si="71"/>
        <v>0</v>
      </c>
      <c r="K69" s="228">
        <f t="shared" si="71"/>
        <v>0</v>
      </c>
      <c r="L69" s="228">
        <f t="shared" si="71"/>
        <v>0</v>
      </c>
      <c r="M69" s="228">
        <f t="shared" si="71"/>
        <v>0</v>
      </c>
      <c r="N69" s="228">
        <f t="shared" si="71"/>
        <v>0</v>
      </c>
      <c r="O69" s="228">
        <f t="shared" si="71"/>
        <v>0</v>
      </c>
      <c r="P69" s="228">
        <f t="shared" si="71"/>
        <v>0</v>
      </c>
      <c r="Q69" s="228">
        <f t="shared" si="71"/>
        <v>0</v>
      </c>
      <c r="R69" s="228">
        <f t="shared" si="71"/>
        <v>0</v>
      </c>
      <c r="S69" s="228">
        <f t="shared" si="71"/>
        <v>22941.09031153805</v>
      </c>
      <c r="T69" s="228">
        <f t="shared" si="71"/>
        <v>0</v>
      </c>
      <c r="U69" s="228">
        <f t="shared" si="71"/>
        <v>0</v>
      </c>
      <c r="V69" s="228">
        <f t="shared" si="71"/>
        <v>0</v>
      </c>
      <c r="W69" s="228">
        <f t="shared" si="71"/>
        <v>0</v>
      </c>
      <c r="X69" s="228">
        <f t="shared" si="71"/>
        <v>0</v>
      </c>
      <c r="Y69" s="228">
        <f t="shared" si="71"/>
        <v>0</v>
      </c>
      <c r="Z69" s="228">
        <f t="shared" si="71"/>
        <v>0</v>
      </c>
      <c r="AA69" s="228">
        <f t="shared" si="71"/>
        <v>0</v>
      </c>
      <c r="AB69" s="228">
        <f t="shared" si="71"/>
        <v>0</v>
      </c>
      <c r="AC69" s="228">
        <f t="shared" si="71"/>
        <v>0</v>
      </c>
      <c r="AD69" s="228">
        <f t="shared" si="71"/>
        <v>0</v>
      </c>
      <c r="AE69" s="228">
        <f t="shared" si="71"/>
        <v>0</v>
      </c>
      <c r="AF69" s="228">
        <f t="shared" si="71"/>
        <v>0</v>
      </c>
      <c r="AG69" s="228">
        <f t="shared" si="71"/>
        <v>0</v>
      </c>
      <c r="AH69" s="228">
        <f t="shared" si="71"/>
        <v>0</v>
      </c>
      <c r="AI69" s="228">
        <f t="shared" si="71"/>
        <v>0</v>
      </c>
      <c r="AJ69" s="228">
        <f t="shared" si="71"/>
        <v>0</v>
      </c>
      <c r="AK69" s="228">
        <f t="shared" si="71"/>
        <v>0</v>
      </c>
      <c r="AL69" s="228">
        <f t="shared" si="71"/>
        <v>0</v>
      </c>
      <c r="AM69" s="228">
        <f t="shared" si="71"/>
        <v>0</v>
      </c>
      <c r="AN69" s="228">
        <f t="shared" si="71"/>
        <v>0</v>
      </c>
      <c r="AO69" s="228">
        <f t="shared" si="71"/>
        <v>0</v>
      </c>
      <c r="AP69" s="228">
        <f t="shared" si="71"/>
        <v>0</v>
      </c>
      <c r="AQ69" s="228">
        <f t="shared" si="71"/>
        <v>0</v>
      </c>
      <c r="AR69" s="228">
        <f t="shared" si="71"/>
        <v>0</v>
      </c>
      <c r="AS69" s="228">
        <f t="shared" si="71"/>
        <v>0</v>
      </c>
      <c r="AT69" s="228">
        <f t="shared" si="71"/>
        <v>0</v>
      </c>
      <c r="AU69" s="228">
        <f t="shared" si="71"/>
        <v>0</v>
      </c>
      <c r="AV69" s="228">
        <f t="shared" si="71"/>
        <v>0</v>
      </c>
      <c r="AW69" s="228">
        <f t="shared" si="71"/>
        <v>0</v>
      </c>
      <c r="AX69" s="228">
        <f t="shared" si="71"/>
        <v>0</v>
      </c>
      <c r="AY69" s="228">
        <f t="shared" si="71"/>
        <v>0</v>
      </c>
      <c r="AZ69" s="228">
        <f t="shared" si="71"/>
        <v>0</v>
      </c>
      <c r="BA69" s="228">
        <f t="shared" si="71"/>
        <v>0</v>
      </c>
      <c r="BB69" s="228">
        <f t="shared" si="71"/>
        <v>0</v>
      </c>
      <c r="BC69" s="228">
        <f t="shared" si="71"/>
        <v>0</v>
      </c>
      <c r="BD69" s="228">
        <f t="shared" si="71"/>
        <v>0</v>
      </c>
      <c r="BE69" s="228">
        <f t="shared" si="71"/>
        <v>0</v>
      </c>
      <c r="BF69" s="228">
        <f t="shared" si="71"/>
        <v>0</v>
      </c>
      <c r="BG69" s="228">
        <f t="shared" si="71"/>
        <v>0</v>
      </c>
      <c r="BH69" s="228">
        <f t="shared" si="71"/>
        <v>0</v>
      </c>
      <c r="BI69" s="228">
        <f t="shared" si="71"/>
        <v>0</v>
      </c>
      <c r="BJ69" s="228">
        <f t="shared" si="71"/>
        <v>0</v>
      </c>
      <c r="BK69" s="228">
        <f t="shared" si="71"/>
        <v>0</v>
      </c>
      <c r="BL69" s="228">
        <f t="shared" si="71"/>
        <v>0</v>
      </c>
      <c r="BM69" s="228">
        <f t="shared" si="71"/>
        <v>0</v>
      </c>
      <c r="BN69" s="228">
        <f t="shared" si="71"/>
        <v>0</v>
      </c>
      <c r="BO69" s="228">
        <f t="shared" si="71"/>
        <v>0</v>
      </c>
      <c r="BP69" s="228">
        <f t="shared" ref="BP69:EA69" si="72">IF(BP65=$C51,$C52*$C62,0)</f>
        <v>0</v>
      </c>
      <c r="BQ69" s="228">
        <f t="shared" si="72"/>
        <v>0</v>
      </c>
      <c r="BR69" s="228">
        <f t="shared" si="72"/>
        <v>0</v>
      </c>
      <c r="BS69" s="228">
        <f t="shared" si="72"/>
        <v>0</v>
      </c>
      <c r="BT69" s="228">
        <f t="shared" si="72"/>
        <v>0</v>
      </c>
      <c r="BU69" s="228">
        <f t="shared" si="72"/>
        <v>0</v>
      </c>
      <c r="BV69" s="228">
        <f t="shared" si="72"/>
        <v>0</v>
      </c>
      <c r="BW69" s="228">
        <f t="shared" si="72"/>
        <v>0</v>
      </c>
      <c r="BX69" s="228">
        <f t="shared" si="72"/>
        <v>0</v>
      </c>
      <c r="BY69" s="228">
        <f t="shared" si="72"/>
        <v>0</v>
      </c>
      <c r="BZ69" s="228">
        <f t="shared" si="72"/>
        <v>0</v>
      </c>
      <c r="CA69" s="228">
        <f t="shared" si="72"/>
        <v>0</v>
      </c>
      <c r="CB69" s="228">
        <f t="shared" si="72"/>
        <v>0</v>
      </c>
      <c r="CC69" s="228">
        <f t="shared" si="72"/>
        <v>0</v>
      </c>
      <c r="CD69" s="228">
        <f t="shared" si="72"/>
        <v>0</v>
      </c>
      <c r="CE69" s="228">
        <f t="shared" si="72"/>
        <v>0</v>
      </c>
      <c r="CF69" s="228">
        <f t="shared" si="72"/>
        <v>0</v>
      </c>
      <c r="CG69" s="228">
        <f t="shared" si="72"/>
        <v>0</v>
      </c>
      <c r="CH69" s="228">
        <f t="shared" si="72"/>
        <v>0</v>
      </c>
      <c r="CI69" s="228">
        <f t="shared" si="72"/>
        <v>0</v>
      </c>
      <c r="CJ69" s="228">
        <f t="shared" si="72"/>
        <v>0</v>
      </c>
      <c r="CK69" s="228">
        <f t="shared" si="72"/>
        <v>0</v>
      </c>
      <c r="CL69" s="228">
        <f t="shared" si="72"/>
        <v>0</v>
      </c>
      <c r="CM69" s="228">
        <f t="shared" si="72"/>
        <v>0</v>
      </c>
      <c r="CN69" s="228">
        <f t="shared" si="72"/>
        <v>0</v>
      </c>
      <c r="CO69" s="228">
        <f t="shared" si="72"/>
        <v>0</v>
      </c>
      <c r="CP69" s="228">
        <f t="shared" si="72"/>
        <v>0</v>
      </c>
      <c r="CQ69" s="228">
        <f t="shared" si="72"/>
        <v>0</v>
      </c>
      <c r="CR69" s="228">
        <f t="shared" si="72"/>
        <v>0</v>
      </c>
      <c r="CS69" s="228">
        <f t="shared" si="72"/>
        <v>0</v>
      </c>
      <c r="CT69" s="228">
        <f t="shared" si="72"/>
        <v>0</v>
      </c>
      <c r="CU69" s="228">
        <f t="shared" si="72"/>
        <v>0</v>
      </c>
      <c r="CV69" s="228">
        <f t="shared" si="72"/>
        <v>0</v>
      </c>
      <c r="CW69" s="228">
        <f t="shared" si="72"/>
        <v>0</v>
      </c>
      <c r="CX69" s="228">
        <f t="shared" si="72"/>
        <v>0</v>
      </c>
      <c r="CY69" s="228">
        <f t="shared" si="72"/>
        <v>0</v>
      </c>
      <c r="CZ69" s="228">
        <f t="shared" si="72"/>
        <v>0</v>
      </c>
      <c r="DA69" s="228">
        <f t="shared" si="72"/>
        <v>0</v>
      </c>
      <c r="DB69" s="228">
        <f t="shared" si="72"/>
        <v>0</v>
      </c>
      <c r="DC69" s="228">
        <f t="shared" si="72"/>
        <v>0</v>
      </c>
      <c r="DD69" s="228">
        <f t="shared" si="72"/>
        <v>0</v>
      </c>
      <c r="DE69" s="228">
        <f t="shared" si="72"/>
        <v>0</v>
      </c>
      <c r="DF69" s="228">
        <f t="shared" si="72"/>
        <v>0</v>
      </c>
      <c r="DG69" s="228">
        <f t="shared" si="72"/>
        <v>0</v>
      </c>
      <c r="DH69" s="228">
        <f t="shared" si="72"/>
        <v>0</v>
      </c>
      <c r="DI69" s="228">
        <f t="shared" si="72"/>
        <v>0</v>
      </c>
      <c r="DJ69" s="228">
        <f t="shared" si="72"/>
        <v>0</v>
      </c>
      <c r="DK69" s="228">
        <f t="shared" si="72"/>
        <v>0</v>
      </c>
      <c r="DL69" s="228">
        <f t="shared" si="72"/>
        <v>0</v>
      </c>
      <c r="DM69" s="228">
        <f t="shared" si="72"/>
        <v>0</v>
      </c>
      <c r="DN69" s="228">
        <f t="shared" si="72"/>
        <v>0</v>
      </c>
      <c r="DO69" s="228">
        <f t="shared" si="72"/>
        <v>0</v>
      </c>
      <c r="DP69" s="228">
        <f t="shared" si="72"/>
        <v>0</v>
      </c>
      <c r="DQ69" s="228">
        <f t="shared" si="72"/>
        <v>0</v>
      </c>
      <c r="DR69" s="228">
        <f t="shared" si="72"/>
        <v>0</v>
      </c>
      <c r="DS69" s="228">
        <f t="shared" si="72"/>
        <v>0</v>
      </c>
      <c r="DT69" s="228">
        <f t="shared" si="72"/>
        <v>0</v>
      </c>
      <c r="DU69" s="228">
        <f t="shared" si="72"/>
        <v>0</v>
      </c>
      <c r="DV69" s="228">
        <f t="shared" si="72"/>
        <v>0</v>
      </c>
      <c r="DW69" s="228">
        <f t="shared" si="72"/>
        <v>0</v>
      </c>
      <c r="DX69" s="228">
        <f t="shared" si="72"/>
        <v>0</v>
      </c>
      <c r="DY69" s="228">
        <f t="shared" si="72"/>
        <v>0</v>
      </c>
      <c r="DZ69" s="228">
        <f t="shared" si="72"/>
        <v>0</v>
      </c>
      <c r="EA69" s="228">
        <f t="shared" si="72"/>
        <v>0</v>
      </c>
      <c r="EB69" s="228">
        <f t="shared" ref="EB69:EQ69" si="73">IF(EB65=$C51,$C52*$C62,0)</f>
        <v>0</v>
      </c>
      <c r="EC69" s="228">
        <f t="shared" si="73"/>
        <v>0</v>
      </c>
      <c r="ED69" s="228">
        <f t="shared" si="73"/>
        <v>0</v>
      </c>
      <c r="EE69" s="228">
        <f t="shared" si="73"/>
        <v>0</v>
      </c>
      <c r="EF69" s="228">
        <f t="shared" si="73"/>
        <v>0</v>
      </c>
      <c r="EG69" s="228">
        <f t="shared" si="73"/>
        <v>0</v>
      </c>
      <c r="EH69" s="228">
        <f t="shared" si="73"/>
        <v>0</v>
      </c>
      <c r="EI69" s="228">
        <f t="shared" si="73"/>
        <v>0</v>
      </c>
      <c r="EJ69" s="228">
        <f t="shared" si="73"/>
        <v>0</v>
      </c>
      <c r="EK69" s="228">
        <f t="shared" si="73"/>
        <v>0</v>
      </c>
      <c r="EL69" s="228">
        <f t="shared" si="73"/>
        <v>0</v>
      </c>
      <c r="EM69" s="228">
        <f t="shared" si="73"/>
        <v>0</v>
      </c>
      <c r="EN69" s="228">
        <f t="shared" si="73"/>
        <v>0</v>
      </c>
      <c r="EO69" s="228">
        <f t="shared" si="73"/>
        <v>0</v>
      </c>
      <c r="EP69" s="228">
        <f t="shared" si="73"/>
        <v>0</v>
      </c>
      <c r="EQ69" s="229">
        <f t="shared" si="73"/>
        <v>0</v>
      </c>
    </row>
    <row r="70" spans="1:147" x14ac:dyDescent="0.25">
      <c r="A70" s="230" t="s">
        <v>356</v>
      </c>
      <c r="B70" s="231"/>
      <c r="C70" s="232"/>
      <c r="D70" s="232">
        <f t="shared" ref="D70:BO70" si="74">IF(D65=$C51,$C52,C70-D67)</f>
        <v>0</v>
      </c>
      <c r="E70" s="232">
        <f t="shared" si="74"/>
        <v>0</v>
      </c>
      <c r="F70" s="232">
        <f t="shared" si="74"/>
        <v>0</v>
      </c>
      <c r="G70" s="232">
        <f t="shared" si="74"/>
        <v>0</v>
      </c>
      <c r="H70" s="232">
        <f t="shared" si="74"/>
        <v>0</v>
      </c>
      <c r="I70" s="232">
        <f t="shared" si="74"/>
        <v>0</v>
      </c>
      <c r="J70" s="232">
        <f t="shared" si="74"/>
        <v>0</v>
      </c>
      <c r="K70" s="232">
        <f t="shared" si="74"/>
        <v>0</v>
      </c>
      <c r="L70" s="232">
        <f t="shared" si="74"/>
        <v>0</v>
      </c>
      <c r="M70" s="232">
        <f t="shared" si="74"/>
        <v>0</v>
      </c>
      <c r="N70" s="232">
        <f t="shared" si="74"/>
        <v>0</v>
      </c>
      <c r="O70" s="232">
        <f t="shared" si="74"/>
        <v>0</v>
      </c>
      <c r="P70" s="232">
        <f t="shared" si="74"/>
        <v>0</v>
      </c>
      <c r="Q70" s="232">
        <f t="shared" si="74"/>
        <v>0</v>
      </c>
      <c r="R70" s="232">
        <f t="shared" si="74"/>
        <v>0</v>
      </c>
      <c r="S70" s="232">
        <f t="shared" si="74"/>
        <v>4588218.0623076102</v>
      </c>
      <c r="T70" s="232">
        <f t="shared" si="74"/>
        <v>4588218.0623076102</v>
      </c>
      <c r="U70" s="232">
        <f t="shared" si="74"/>
        <v>4588218.0623076102</v>
      </c>
      <c r="V70" s="232">
        <f t="shared" si="74"/>
        <v>4588218.0623076102</v>
      </c>
      <c r="W70" s="232">
        <f t="shared" si="74"/>
        <v>4588218.0623076102</v>
      </c>
      <c r="X70" s="232">
        <f t="shared" si="74"/>
        <v>4588218.0623076102</v>
      </c>
      <c r="Y70" s="232">
        <f t="shared" si="74"/>
        <v>4415828.4503374491</v>
      </c>
      <c r="Z70" s="232">
        <f t="shared" si="74"/>
        <v>4415828.4503374491</v>
      </c>
      <c r="AA70" s="232">
        <f t="shared" si="74"/>
        <v>4415828.4503374491</v>
      </c>
      <c r="AB70" s="232">
        <f t="shared" si="74"/>
        <v>4415828.4503374491</v>
      </c>
      <c r="AC70" s="232">
        <f t="shared" si="74"/>
        <v>4415828.4503374491</v>
      </c>
      <c r="AD70" s="232">
        <f t="shared" si="74"/>
        <v>4415828.4503374491</v>
      </c>
      <c r="AE70" s="232">
        <f t="shared" si="74"/>
        <v>4235848.4115453856</v>
      </c>
      <c r="AF70" s="232">
        <f t="shared" si="74"/>
        <v>4235848.4115453856</v>
      </c>
      <c r="AG70" s="232">
        <f t="shared" si="74"/>
        <v>4235848.4115453856</v>
      </c>
      <c r="AH70" s="232">
        <f t="shared" si="74"/>
        <v>4235848.4115453856</v>
      </c>
      <c r="AI70" s="232">
        <f t="shared" si="74"/>
        <v>4235848.4115453856</v>
      </c>
      <c r="AJ70" s="232">
        <f t="shared" si="74"/>
        <v>4235848.4115453856</v>
      </c>
      <c r="AK70" s="232">
        <f t="shared" si="74"/>
        <v>4047943.7344979099</v>
      </c>
      <c r="AL70" s="232">
        <f t="shared" si="74"/>
        <v>4047943.7344979099</v>
      </c>
      <c r="AM70" s="232">
        <f t="shared" si="74"/>
        <v>4047943.7344979099</v>
      </c>
      <c r="AN70" s="232">
        <f t="shared" si="74"/>
        <v>4047943.7344979099</v>
      </c>
      <c r="AO70" s="232">
        <f t="shared" si="74"/>
        <v>4047943.7344979099</v>
      </c>
      <c r="AP70" s="232">
        <f t="shared" si="74"/>
        <v>4047943.7344979099</v>
      </c>
      <c r="AQ70" s="232">
        <f t="shared" si="74"/>
        <v>3851765.4922145605</v>
      </c>
      <c r="AR70" s="232">
        <f t="shared" si="74"/>
        <v>3851765.4922145605</v>
      </c>
      <c r="AS70" s="232">
        <f t="shared" si="74"/>
        <v>3851765.4922145605</v>
      </c>
      <c r="AT70" s="232">
        <f t="shared" si="74"/>
        <v>3851765.4922145605</v>
      </c>
      <c r="AU70" s="232">
        <f t="shared" si="74"/>
        <v>3851765.4922145605</v>
      </c>
      <c r="AV70" s="232">
        <f t="shared" si="74"/>
        <v>3851765.4922145605</v>
      </c>
      <c r="AW70" s="232">
        <f t="shared" si="74"/>
        <v>3646949.3942328123</v>
      </c>
      <c r="AX70" s="232">
        <f t="shared" si="74"/>
        <v>3646949.3942328123</v>
      </c>
      <c r="AY70" s="232">
        <f t="shared" si="74"/>
        <v>3646949.3942328123</v>
      </c>
      <c r="AZ70" s="232">
        <f t="shared" si="74"/>
        <v>3646949.3942328123</v>
      </c>
      <c r="BA70" s="232">
        <f t="shared" si="74"/>
        <v>3646949.3942328123</v>
      </c>
      <c r="BB70" s="232">
        <f t="shared" si="74"/>
        <v>3646949.3942328123</v>
      </c>
      <c r="BC70" s="232">
        <f t="shared" si="74"/>
        <v>3433115.1101439614</v>
      </c>
      <c r="BD70" s="232">
        <f t="shared" si="74"/>
        <v>3433115.1101439614</v>
      </c>
      <c r="BE70" s="232">
        <f t="shared" si="74"/>
        <v>3433115.1101439614</v>
      </c>
      <c r="BF70" s="232">
        <f t="shared" si="74"/>
        <v>3433115.1101439614</v>
      </c>
      <c r="BG70" s="232">
        <f t="shared" si="74"/>
        <v>3433115.1101439614</v>
      </c>
      <c r="BH70" s="232">
        <f t="shared" si="74"/>
        <v>3433115.1101439614</v>
      </c>
      <c r="BI70" s="232">
        <f t="shared" si="74"/>
        <v>3209865.5633438556</v>
      </c>
      <c r="BJ70" s="232">
        <f t="shared" si="74"/>
        <v>3209865.5633438556</v>
      </c>
      <c r="BK70" s="232">
        <f t="shared" si="74"/>
        <v>3209865.5633438556</v>
      </c>
      <c r="BL70" s="232">
        <f t="shared" si="74"/>
        <v>3209865.5633438556</v>
      </c>
      <c r="BM70" s="232">
        <f t="shared" si="74"/>
        <v>3209865.5633438556</v>
      </c>
      <c r="BN70" s="232">
        <f t="shared" si="74"/>
        <v>3209865.5633438556</v>
      </c>
      <c r="BO70" s="232">
        <f t="shared" si="74"/>
        <v>2976786.1936870082</v>
      </c>
      <c r="BP70" s="232">
        <f t="shared" ref="BP70:EA70" si="75">IF(BP65=$C51,$C52,BO70-BP67)</f>
        <v>2976786.1936870082</v>
      </c>
      <c r="BQ70" s="232">
        <f t="shared" si="75"/>
        <v>2976786.1936870082</v>
      </c>
      <c r="BR70" s="232">
        <f t="shared" si="75"/>
        <v>2976786.1936870082</v>
      </c>
      <c r="BS70" s="232">
        <f t="shared" si="75"/>
        <v>2976786.1936870082</v>
      </c>
      <c r="BT70" s="232">
        <f t="shared" si="75"/>
        <v>2976786.1936870082</v>
      </c>
      <c r="BU70" s="232">
        <f t="shared" si="75"/>
        <v>2733444.1876748931</v>
      </c>
      <c r="BV70" s="232">
        <f t="shared" si="75"/>
        <v>2733444.1876748931</v>
      </c>
      <c r="BW70" s="232">
        <f t="shared" si="75"/>
        <v>2733444.1876748931</v>
      </c>
      <c r="BX70" s="232">
        <f t="shared" si="75"/>
        <v>2733444.1876748931</v>
      </c>
      <c r="BY70" s="232">
        <f t="shared" si="75"/>
        <v>2733444.1876748931</v>
      </c>
      <c r="BZ70" s="232">
        <f t="shared" si="75"/>
        <v>2733444.1876748931</v>
      </c>
      <c r="CA70" s="232">
        <f t="shared" si="75"/>
        <v>2479387.6747489292</v>
      </c>
      <c r="CB70" s="232">
        <f t="shared" si="75"/>
        <v>2479387.6747489292</v>
      </c>
      <c r="CC70" s="232">
        <f t="shared" si="75"/>
        <v>2479387.6747489292</v>
      </c>
      <c r="CD70" s="232">
        <f t="shared" si="75"/>
        <v>2479387.6747489292</v>
      </c>
      <c r="CE70" s="232">
        <f t="shared" si="75"/>
        <v>2479387.6747489292</v>
      </c>
      <c r="CF70" s="232">
        <f t="shared" si="75"/>
        <v>2479387.6747489292</v>
      </c>
      <c r="CG70" s="232">
        <f t="shared" si="75"/>
        <v>2214144.8881957233</v>
      </c>
      <c r="CH70" s="232">
        <f t="shared" si="75"/>
        <v>2214144.8881957233</v>
      </c>
      <c r="CI70" s="232">
        <f t="shared" si="75"/>
        <v>2214144.8881957233</v>
      </c>
      <c r="CJ70" s="232">
        <f t="shared" si="75"/>
        <v>2214144.8881957233</v>
      </c>
      <c r="CK70" s="232">
        <f t="shared" si="75"/>
        <v>2214144.8881957233</v>
      </c>
      <c r="CL70" s="232">
        <f t="shared" si="75"/>
        <v>2214144.8881957233</v>
      </c>
      <c r="CM70" s="232">
        <f t="shared" si="75"/>
        <v>1937223.2891064228</v>
      </c>
      <c r="CN70" s="232">
        <f t="shared" si="75"/>
        <v>1937223.2891064228</v>
      </c>
      <c r="CO70" s="232">
        <f t="shared" si="75"/>
        <v>1937223.2891064228</v>
      </c>
      <c r="CP70" s="232">
        <f t="shared" si="75"/>
        <v>1937223.2891064228</v>
      </c>
      <c r="CQ70" s="232">
        <f t="shared" si="75"/>
        <v>1937223.2891064228</v>
      </c>
      <c r="CR70" s="232">
        <f t="shared" si="75"/>
        <v>1937223.2891064228</v>
      </c>
      <c r="CS70" s="232">
        <f t="shared" si="75"/>
        <v>1648108.6517634285</v>
      </c>
      <c r="CT70" s="232">
        <f t="shared" si="75"/>
        <v>1648108.6517634285</v>
      </c>
      <c r="CU70" s="232">
        <f t="shared" si="75"/>
        <v>1648108.6517634285</v>
      </c>
      <c r="CV70" s="232">
        <f t="shared" si="75"/>
        <v>1648108.6517634285</v>
      </c>
      <c r="CW70" s="232">
        <f t="shared" si="75"/>
        <v>1648108.6517634285</v>
      </c>
      <c r="CX70" s="232">
        <f t="shared" si="75"/>
        <v>1648108.6517634285</v>
      </c>
      <c r="CY70" s="232">
        <f t="shared" si="75"/>
        <v>1346264.108756091</v>
      </c>
      <c r="CZ70" s="232">
        <f t="shared" si="75"/>
        <v>1346264.108756091</v>
      </c>
      <c r="DA70" s="232">
        <f t="shared" si="75"/>
        <v>1346264.108756091</v>
      </c>
      <c r="DB70" s="232">
        <f t="shared" si="75"/>
        <v>1346264.108756091</v>
      </c>
      <c r="DC70" s="232">
        <f t="shared" si="75"/>
        <v>1346264.108756091</v>
      </c>
      <c r="DD70" s="232">
        <f t="shared" si="75"/>
        <v>1346264.108756091</v>
      </c>
      <c r="DE70" s="232">
        <f t="shared" si="75"/>
        <v>1031129.1540522273</v>
      </c>
      <c r="DF70" s="232">
        <f t="shared" si="75"/>
        <v>1031129.1540522273</v>
      </c>
      <c r="DG70" s="232">
        <f t="shared" si="75"/>
        <v>1031129.1540522273</v>
      </c>
      <c r="DH70" s="232">
        <f t="shared" si="75"/>
        <v>1031129.1540522273</v>
      </c>
      <c r="DI70" s="232">
        <f t="shared" si="75"/>
        <v>1031129.1540522273</v>
      </c>
      <c r="DJ70" s="232">
        <f t="shared" si="75"/>
        <v>1031129.1540522273</v>
      </c>
      <c r="DK70" s="232">
        <f t="shared" si="75"/>
        <v>702118.60217422922</v>
      </c>
      <c r="DL70" s="232">
        <f t="shared" si="75"/>
        <v>702118.60217422922</v>
      </c>
      <c r="DM70" s="232">
        <f t="shared" si="75"/>
        <v>702118.60217422922</v>
      </c>
      <c r="DN70" s="232">
        <f t="shared" si="75"/>
        <v>702118.60217422922</v>
      </c>
      <c r="DO70" s="232">
        <f t="shared" si="75"/>
        <v>702118.60217422922</v>
      </c>
      <c r="DP70" s="232">
        <f t="shared" si="75"/>
        <v>702118.60217422922</v>
      </c>
      <c r="DQ70" s="232">
        <f t="shared" si="75"/>
        <v>358621.50154701772</v>
      </c>
      <c r="DR70" s="232">
        <f t="shared" si="75"/>
        <v>358621.50154701772</v>
      </c>
      <c r="DS70" s="232">
        <f t="shared" si="75"/>
        <v>358621.50154701772</v>
      </c>
      <c r="DT70" s="232">
        <f t="shared" si="75"/>
        <v>358621.50154701772</v>
      </c>
      <c r="DU70" s="232">
        <f t="shared" si="75"/>
        <v>358621.50154701772</v>
      </c>
      <c r="DV70" s="232">
        <f t="shared" si="75"/>
        <v>358621.50154701772</v>
      </c>
      <c r="DW70" s="232">
        <f t="shared" si="75"/>
        <v>-1.1641532182693481E-10</v>
      </c>
      <c r="DX70" s="232">
        <f t="shared" si="75"/>
        <v>-1.1641532182693481E-10</v>
      </c>
      <c r="DY70" s="232">
        <f t="shared" si="75"/>
        <v>-1.1641532182693481E-10</v>
      </c>
      <c r="DZ70" s="232">
        <f t="shared" si="75"/>
        <v>-1.1641532182693481E-10</v>
      </c>
      <c r="EA70" s="232">
        <f t="shared" si="75"/>
        <v>-1.1641532182693481E-10</v>
      </c>
      <c r="EB70" s="232">
        <f t="shared" ref="EB70:EQ70" si="76">IF(EB65=$C51,$C52,EA70-EB67)</f>
        <v>-1.1641532182693481E-10</v>
      </c>
      <c r="EC70" s="232">
        <f t="shared" si="76"/>
        <v>-1.1641532182693481E-10</v>
      </c>
      <c r="ED70" s="232">
        <f t="shared" si="76"/>
        <v>-1.1641532182693481E-10</v>
      </c>
      <c r="EE70" s="232">
        <f t="shared" si="76"/>
        <v>-1.1641532182693481E-10</v>
      </c>
      <c r="EF70" s="232">
        <f t="shared" si="76"/>
        <v>-1.1641532182693481E-10</v>
      </c>
      <c r="EG70" s="232">
        <f t="shared" si="76"/>
        <v>-1.1641532182693481E-10</v>
      </c>
      <c r="EH70" s="232">
        <f t="shared" si="76"/>
        <v>-1.1641532182693481E-10</v>
      </c>
      <c r="EI70" s="232">
        <f t="shared" si="76"/>
        <v>-1.1641532182693481E-10</v>
      </c>
      <c r="EJ70" s="232">
        <f t="shared" si="76"/>
        <v>-1.1641532182693481E-10</v>
      </c>
      <c r="EK70" s="232">
        <f t="shared" si="76"/>
        <v>-1.1641532182693481E-10</v>
      </c>
      <c r="EL70" s="232">
        <f t="shared" si="76"/>
        <v>-1.1641532182693481E-10</v>
      </c>
      <c r="EM70" s="232">
        <f t="shared" si="76"/>
        <v>-1.1641532182693481E-10</v>
      </c>
      <c r="EN70" s="232">
        <f t="shared" si="76"/>
        <v>-1.1641532182693481E-10</v>
      </c>
      <c r="EO70" s="232">
        <f t="shared" si="76"/>
        <v>-1.1641532182693481E-10</v>
      </c>
      <c r="EP70" s="232">
        <f t="shared" si="76"/>
        <v>-1.1641532182693481E-10</v>
      </c>
      <c r="EQ70" s="233">
        <f t="shared" si="76"/>
        <v>-1.1641532182693481E-10</v>
      </c>
    </row>
    <row r="71" spans="1:147" x14ac:dyDescent="0.25"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4"/>
      <c r="CG71" s="234"/>
      <c r="CH71" s="234"/>
      <c r="CI71" s="234"/>
      <c r="CJ71" s="234"/>
      <c r="CK71" s="234"/>
      <c r="CL71" s="234"/>
      <c r="CM71" s="234"/>
      <c r="CN71" s="234"/>
      <c r="CO71" s="234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  <c r="DK71" s="234"/>
      <c r="DL71" s="234"/>
      <c r="DM71" s="234"/>
      <c r="DN71" s="234"/>
      <c r="DO71" s="234"/>
      <c r="DP71" s="234"/>
      <c r="DQ71" s="234"/>
      <c r="DR71" s="234"/>
      <c r="DS71" s="234"/>
      <c r="DT71" s="234"/>
      <c r="DU71" s="234"/>
      <c r="DV71" s="234"/>
      <c r="DW71" s="234"/>
      <c r="DX71" s="234"/>
      <c r="DY71" s="234"/>
      <c r="DZ71" s="234"/>
      <c r="EA71" s="234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</row>
    <row r="72" spans="1:147" x14ac:dyDescent="0.25"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4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34"/>
      <c r="CA72" s="234"/>
      <c r="CB72" s="234"/>
      <c r="CC72" s="234"/>
      <c r="CD72" s="234"/>
      <c r="CE72" s="234"/>
      <c r="CF72" s="234"/>
      <c r="CG72" s="234"/>
      <c r="CH72" s="234"/>
      <c r="CI72" s="234"/>
      <c r="CJ72" s="234"/>
      <c r="CK72" s="234"/>
      <c r="CL72" s="234"/>
      <c r="CM72" s="234"/>
      <c r="CN72" s="234"/>
      <c r="CO72" s="234"/>
      <c r="CP72" s="234"/>
      <c r="CQ72" s="234"/>
      <c r="CR72" s="234"/>
      <c r="CS72" s="23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DJ72" s="234"/>
      <c r="DK72" s="234"/>
      <c r="DL72" s="234"/>
      <c r="DM72" s="234"/>
      <c r="DN72" s="234"/>
      <c r="DO72" s="234"/>
      <c r="DP72" s="234"/>
      <c r="DQ72" s="234"/>
      <c r="DR72" s="234"/>
      <c r="DS72" s="234"/>
      <c r="DT72" s="234"/>
      <c r="DU72" s="234"/>
      <c r="DV72" s="234"/>
      <c r="DW72" s="234"/>
      <c r="DX72" s="234"/>
      <c r="DY72" s="234"/>
      <c r="DZ72" s="234"/>
      <c r="EA72" s="234"/>
      <c r="EB72" s="234"/>
      <c r="EC72" s="234"/>
      <c r="ED72" s="234"/>
      <c r="EE72" s="234"/>
      <c r="EF72" s="234"/>
      <c r="EG72" s="234"/>
      <c r="EH72" s="234"/>
      <c r="EI72" s="234"/>
      <c r="EJ72" s="234"/>
      <c r="EK72" s="234"/>
      <c r="EL72" s="234"/>
      <c r="EM72" s="234"/>
      <c r="EN72" s="234"/>
      <c r="EO72" s="234"/>
      <c r="EP72" s="234"/>
      <c r="EQ72" s="234"/>
    </row>
    <row r="73" spans="1:147" ht="15.75" x14ac:dyDescent="0.25">
      <c r="A73" s="215" t="s">
        <v>373</v>
      </c>
      <c r="B73" s="215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  <c r="AV73" s="234"/>
      <c r="AW73" s="234"/>
      <c r="AX73" s="234"/>
      <c r="AY73" s="234"/>
      <c r="AZ73" s="234"/>
      <c r="BA73" s="234"/>
      <c r="BB73" s="234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34"/>
      <c r="BX73" s="234"/>
      <c r="BY73" s="234"/>
      <c r="BZ73" s="234"/>
      <c r="CA73" s="234"/>
      <c r="CB73" s="234"/>
      <c r="CC73" s="234"/>
      <c r="CD73" s="234"/>
      <c r="CE73" s="234"/>
      <c r="CF73" s="234"/>
      <c r="CG73" s="234"/>
      <c r="CH73" s="234"/>
      <c r="CI73" s="234"/>
      <c r="CJ73" s="234"/>
      <c r="CK73" s="234"/>
      <c r="CL73" s="234"/>
      <c r="CM73" s="234"/>
      <c r="CN73" s="234"/>
      <c r="CO73" s="234"/>
      <c r="CP73" s="234"/>
      <c r="CQ73" s="234"/>
      <c r="CR73" s="234"/>
      <c r="CS73" s="234"/>
      <c r="CT73" s="234"/>
      <c r="CU73" s="234"/>
      <c r="CV73" s="234"/>
      <c r="CW73" s="234"/>
      <c r="CX73" s="234"/>
      <c r="CY73" s="234"/>
      <c r="CZ73" s="234"/>
      <c r="DA73" s="234"/>
      <c r="DB73" s="234"/>
      <c r="DC73" s="234"/>
      <c r="DD73" s="234"/>
      <c r="DE73" s="234"/>
      <c r="DF73" s="234"/>
      <c r="DG73" s="234"/>
      <c r="DH73" s="234"/>
      <c r="DI73" s="234"/>
      <c r="DJ73" s="234"/>
      <c r="DK73" s="234"/>
      <c r="DL73" s="234"/>
      <c r="DM73" s="234"/>
      <c r="DN73" s="234"/>
      <c r="DO73" s="234"/>
      <c r="DP73" s="234"/>
      <c r="DQ73" s="234"/>
      <c r="DR73" s="234"/>
      <c r="DS73" s="234"/>
      <c r="DT73" s="234"/>
      <c r="DU73" s="234"/>
      <c r="DV73" s="234"/>
      <c r="DW73" s="234"/>
      <c r="DX73" s="234"/>
      <c r="DY73" s="234"/>
      <c r="DZ73" s="234"/>
      <c r="EA73" s="234"/>
      <c r="EB73" s="234"/>
      <c r="EC73" s="234"/>
      <c r="ED73" s="234"/>
      <c r="EE73" s="234"/>
      <c r="EF73" s="234"/>
      <c r="EG73" s="234"/>
      <c r="EH73" s="234"/>
      <c r="EI73" s="234"/>
      <c r="EJ73" s="234"/>
      <c r="EK73" s="234"/>
      <c r="EL73" s="234"/>
      <c r="EM73" s="234"/>
      <c r="EN73" s="234"/>
      <c r="EO73" s="234"/>
      <c r="EP73" s="234"/>
      <c r="EQ73" s="234"/>
    </row>
    <row r="74" spans="1:147" x14ac:dyDescent="0.25"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  <c r="AV74" s="234"/>
      <c r="AW74" s="234"/>
      <c r="AX74" s="234"/>
      <c r="AY74" s="234"/>
      <c r="AZ74" s="234"/>
      <c r="BA74" s="234"/>
      <c r="BB74" s="234"/>
      <c r="BC74" s="234"/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34"/>
      <c r="BX74" s="234"/>
      <c r="BY74" s="234"/>
      <c r="BZ74" s="234"/>
      <c r="CA74" s="234"/>
      <c r="CB74" s="234"/>
      <c r="CC74" s="234"/>
      <c r="CD74" s="234"/>
      <c r="CE74" s="234"/>
      <c r="CF74" s="234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34"/>
      <c r="CU74" s="234"/>
      <c r="CV74" s="234"/>
      <c r="CW74" s="234"/>
      <c r="CX74" s="234"/>
      <c r="CY74" s="234"/>
      <c r="CZ74" s="234"/>
      <c r="DA74" s="234"/>
      <c r="DB74" s="234"/>
      <c r="DC74" s="234"/>
      <c r="DD74" s="234"/>
      <c r="DE74" s="234"/>
      <c r="DF74" s="234"/>
      <c r="DG74" s="234"/>
      <c r="DH74" s="234"/>
      <c r="DI74" s="234"/>
      <c r="DJ74" s="234"/>
      <c r="DK74" s="234"/>
      <c r="DL74" s="234"/>
      <c r="DM74" s="234"/>
      <c r="DN74" s="234"/>
      <c r="DO74" s="234"/>
      <c r="DP74" s="234"/>
      <c r="DQ74" s="234"/>
      <c r="DR74" s="234"/>
      <c r="DS74" s="234"/>
      <c r="DT74" s="234"/>
      <c r="DU74" s="234"/>
      <c r="DV74" s="234"/>
      <c r="DW74" s="234"/>
      <c r="DX74" s="234"/>
      <c r="DY74" s="234"/>
      <c r="DZ74" s="234"/>
      <c r="EA74" s="234"/>
      <c r="EB74" s="234"/>
      <c r="EC74" s="234"/>
      <c r="ED74" s="234"/>
      <c r="EE74" s="234"/>
      <c r="EF74" s="234"/>
      <c r="EG74" s="234"/>
      <c r="EH74" s="234"/>
      <c r="EI74" s="234"/>
      <c r="EJ74" s="234"/>
      <c r="EK74" s="234"/>
      <c r="EL74" s="234"/>
      <c r="EM74" s="234"/>
      <c r="EN74" s="234"/>
      <c r="EO74" s="234"/>
      <c r="EP74" s="234"/>
      <c r="EQ74" s="234"/>
    </row>
    <row r="75" spans="1:147" x14ac:dyDescent="0.25">
      <c r="A75" s="218" t="s">
        <v>360</v>
      </c>
      <c r="B75" s="219"/>
      <c r="C75" s="236">
        <f>DATE(YEAR(C51)+1,MONTH(C51),DAY(C51))</f>
        <v>44652</v>
      </c>
      <c r="D75" s="237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  <c r="DJ75" s="234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4"/>
      <c r="DV75" s="234"/>
      <c r="DW75" s="234"/>
      <c r="DX75" s="234"/>
      <c r="DY75" s="234"/>
      <c r="DZ75" s="234"/>
      <c r="EA75" s="234"/>
      <c r="EB75" s="234"/>
      <c r="EC75" s="234"/>
      <c r="ED75" s="234"/>
      <c r="EE75" s="234"/>
      <c r="EF75" s="234"/>
      <c r="EG75" s="234"/>
      <c r="EH75" s="234"/>
      <c r="EI75" s="234"/>
      <c r="EJ75" s="234"/>
      <c r="EK75" s="234"/>
      <c r="EL75" s="234"/>
      <c r="EM75" s="234"/>
      <c r="EN75" s="234"/>
      <c r="EO75" s="234"/>
      <c r="EP75" s="234"/>
      <c r="EQ75" s="234"/>
    </row>
    <row r="76" spans="1:147" x14ac:dyDescent="0.25">
      <c r="A76" s="226" t="s">
        <v>361</v>
      </c>
      <c r="B76" s="227"/>
      <c r="C76" s="228">
        <f>F8</f>
        <v>7307861.6854404556</v>
      </c>
      <c r="D76" s="238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234"/>
      <c r="CA76" s="234"/>
      <c r="CB76" s="234"/>
      <c r="CC76" s="234"/>
      <c r="CD76" s="234"/>
      <c r="CE76" s="234"/>
      <c r="CF76" s="234"/>
      <c r="CG76" s="234"/>
      <c r="CH76" s="234"/>
      <c r="CI76" s="234"/>
      <c r="CJ76" s="234"/>
      <c r="CK76" s="234"/>
      <c r="CL76" s="234"/>
      <c r="CM76" s="234"/>
      <c r="CN76" s="234"/>
      <c r="CO76" s="234"/>
      <c r="CP76" s="234"/>
      <c r="CQ76" s="234"/>
      <c r="CR76" s="234"/>
      <c r="CS76" s="234"/>
      <c r="CT76" s="234"/>
      <c r="CU76" s="234"/>
      <c r="CV76" s="234"/>
      <c r="CW76" s="234"/>
      <c r="CX76" s="234"/>
      <c r="CY76" s="234"/>
      <c r="CZ76" s="234"/>
      <c r="DA76" s="234"/>
      <c r="DB76" s="234"/>
      <c r="DC76" s="234"/>
      <c r="DD76" s="234"/>
      <c r="DE76" s="234"/>
      <c r="DF76" s="234"/>
      <c r="DG76" s="234"/>
      <c r="DH76" s="234"/>
      <c r="DI76" s="234"/>
      <c r="DJ76" s="234"/>
      <c r="DK76" s="234"/>
      <c r="DL76" s="234"/>
      <c r="DM76" s="234"/>
      <c r="DN76" s="234"/>
      <c r="DO76" s="234"/>
      <c r="DP76" s="234"/>
      <c r="DQ76" s="234"/>
      <c r="DR76" s="234"/>
      <c r="DS76" s="234"/>
      <c r="DT76" s="234"/>
      <c r="DU76" s="234"/>
      <c r="DV76" s="234"/>
      <c r="DW76" s="234"/>
      <c r="DX76" s="234"/>
      <c r="DY76" s="234"/>
      <c r="DZ76" s="234"/>
      <c r="EA76" s="234"/>
      <c r="EB76" s="234"/>
      <c r="EC76" s="234"/>
      <c r="ED76" s="234"/>
      <c r="EE76" s="234"/>
      <c r="EF76" s="234"/>
      <c r="EG76" s="234"/>
      <c r="EH76" s="234"/>
      <c r="EI76" s="234"/>
      <c r="EJ76" s="234"/>
      <c r="EK76" s="234"/>
      <c r="EL76" s="234"/>
      <c r="EM76" s="234"/>
      <c r="EN76" s="234"/>
      <c r="EO76" s="234"/>
      <c r="EP76" s="234"/>
      <c r="EQ76" s="234"/>
    </row>
    <row r="77" spans="1:147" x14ac:dyDescent="0.25">
      <c r="A77" s="239" t="s">
        <v>362</v>
      </c>
      <c r="B77" s="240"/>
      <c r="C77" s="241">
        <v>8</v>
      </c>
      <c r="D77" s="238" t="s">
        <v>363</v>
      </c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4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4"/>
      <c r="BN77" s="234"/>
      <c r="BO77" s="234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234"/>
      <c r="CA77" s="234"/>
      <c r="CB77" s="234"/>
      <c r="CC77" s="234"/>
      <c r="CD77" s="234"/>
      <c r="CE77" s="234"/>
      <c r="CF77" s="234"/>
      <c r="CG77" s="234"/>
      <c r="CH77" s="234"/>
      <c r="CI77" s="234"/>
      <c r="CJ77" s="234"/>
      <c r="CK77" s="234"/>
      <c r="CL77" s="234"/>
      <c r="CM77" s="234"/>
      <c r="CN77" s="234"/>
      <c r="CO77" s="234"/>
      <c r="CP77" s="234"/>
      <c r="CQ77" s="234"/>
      <c r="CR77" s="234"/>
      <c r="CS77" s="234"/>
      <c r="CT77" s="234"/>
      <c r="CU77" s="234"/>
      <c r="CV77" s="234"/>
      <c r="CW77" s="234"/>
      <c r="CX77" s="234"/>
      <c r="CY77" s="234"/>
      <c r="CZ77" s="234"/>
      <c r="DA77" s="234"/>
      <c r="DB77" s="234"/>
      <c r="DC77" s="234"/>
      <c r="DD77" s="234"/>
      <c r="DE77" s="234"/>
      <c r="DF77" s="234"/>
      <c r="DG77" s="234"/>
      <c r="DH77" s="234"/>
      <c r="DI77" s="234"/>
      <c r="DJ77" s="234"/>
      <c r="DK77" s="234"/>
      <c r="DL77" s="234"/>
      <c r="DM77" s="234"/>
      <c r="DN77" s="234"/>
      <c r="DO77" s="234"/>
      <c r="DP77" s="234"/>
      <c r="DQ77" s="234"/>
      <c r="DR77" s="234"/>
      <c r="DS77" s="234"/>
      <c r="DT77" s="234"/>
      <c r="DU77" s="234"/>
      <c r="DV77" s="234"/>
      <c r="DW77" s="234"/>
      <c r="DX77" s="234"/>
      <c r="DY77" s="234"/>
      <c r="DZ77" s="234"/>
      <c r="EA77" s="234"/>
      <c r="EB77" s="234"/>
      <c r="EC77" s="234"/>
      <c r="ED77" s="234"/>
      <c r="EE77" s="234"/>
      <c r="EF77" s="234"/>
      <c r="EG77" s="234"/>
      <c r="EH77" s="234"/>
      <c r="EI77" s="234"/>
      <c r="EJ77" s="234"/>
      <c r="EK77" s="234"/>
      <c r="EL77" s="234"/>
      <c r="EM77" s="234"/>
      <c r="EN77" s="234"/>
      <c r="EO77" s="234"/>
      <c r="EP77" s="234"/>
      <c r="EQ77" s="234"/>
    </row>
    <row r="78" spans="1:147" x14ac:dyDescent="0.25">
      <c r="A78" s="223"/>
      <c r="B78" s="224"/>
      <c r="C78" s="241">
        <f>C77*2</f>
        <v>16</v>
      </c>
      <c r="D78" s="238" t="s">
        <v>364</v>
      </c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234"/>
      <c r="CA78" s="234"/>
      <c r="CB78" s="234"/>
      <c r="CC78" s="234"/>
      <c r="CD78" s="234"/>
      <c r="CE78" s="234"/>
      <c r="CF78" s="234"/>
      <c r="CG78" s="234"/>
      <c r="CH78" s="234"/>
      <c r="CI78" s="234"/>
      <c r="CJ78" s="234"/>
      <c r="CK78" s="234"/>
      <c r="CL78" s="234"/>
      <c r="CM78" s="234"/>
      <c r="CN78" s="234"/>
      <c r="CO78" s="234"/>
      <c r="CP78" s="234"/>
      <c r="CQ78" s="234"/>
      <c r="CR78" s="234"/>
      <c r="CS78" s="234"/>
      <c r="CT78" s="234"/>
      <c r="CU78" s="234"/>
      <c r="CV78" s="234"/>
      <c r="CW78" s="234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4"/>
      <c r="DJ78" s="234"/>
      <c r="DK78" s="234"/>
      <c r="DL78" s="234"/>
      <c r="DM78" s="234"/>
      <c r="DN78" s="234"/>
      <c r="DO78" s="234"/>
      <c r="DP78" s="234"/>
      <c r="DQ78" s="234"/>
      <c r="DR78" s="234"/>
      <c r="DS78" s="234"/>
      <c r="DT78" s="234"/>
      <c r="DU78" s="234"/>
      <c r="DV78" s="234"/>
      <c r="DW78" s="234"/>
      <c r="DX78" s="234"/>
      <c r="DY78" s="234"/>
      <c r="DZ78" s="234"/>
      <c r="EA78" s="234"/>
      <c r="EB78" s="234"/>
      <c r="EC78" s="234"/>
      <c r="ED78" s="234"/>
      <c r="EE78" s="234"/>
      <c r="EF78" s="234"/>
      <c r="EG78" s="234"/>
      <c r="EH78" s="234"/>
      <c r="EI78" s="234"/>
      <c r="EJ78" s="234"/>
      <c r="EK78" s="234"/>
      <c r="EL78" s="234"/>
      <c r="EM78" s="234"/>
      <c r="EN78" s="234"/>
      <c r="EO78" s="234"/>
      <c r="EP78" s="234"/>
      <c r="EQ78" s="234"/>
    </row>
    <row r="79" spans="1:147" x14ac:dyDescent="0.25">
      <c r="A79" s="239" t="s">
        <v>365</v>
      </c>
      <c r="B79" s="240"/>
      <c r="C79" s="241">
        <v>0</v>
      </c>
      <c r="D79" s="238" t="s">
        <v>363</v>
      </c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234"/>
      <c r="CA79" s="234"/>
      <c r="CB79" s="234"/>
      <c r="CC79" s="234"/>
      <c r="CD79" s="234"/>
      <c r="CE79" s="234"/>
      <c r="CF79" s="234"/>
      <c r="CG79" s="234"/>
      <c r="CH79" s="234"/>
      <c r="CI79" s="234"/>
      <c r="CJ79" s="234"/>
      <c r="CK79" s="234"/>
      <c r="CL79" s="234"/>
      <c r="CM79" s="234"/>
      <c r="CN79" s="234"/>
      <c r="CO79" s="234"/>
      <c r="CP79" s="234"/>
      <c r="CQ79" s="234"/>
      <c r="CR79" s="234"/>
      <c r="CS79" s="234"/>
      <c r="CT79" s="234"/>
      <c r="CU79" s="234"/>
      <c r="CV79" s="234"/>
      <c r="CW79" s="234"/>
      <c r="CX79" s="234"/>
      <c r="CY79" s="234"/>
      <c r="CZ79" s="234"/>
      <c r="DA79" s="234"/>
      <c r="DB79" s="234"/>
      <c r="DC79" s="234"/>
      <c r="DD79" s="234"/>
      <c r="DE79" s="234"/>
      <c r="DF79" s="234"/>
      <c r="DG79" s="234"/>
      <c r="DH79" s="234"/>
      <c r="DI79" s="234"/>
      <c r="DJ79" s="234"/>
      <c r="DK79" s="234"/>
      <c r="DL79" s="234"/>
      <c r="DM79" s="234"/>
      <c r="DN79" s="234"/>
      <c r="DO79" s="234"/>
      <c r="DP79" s="234"/>
      <c r="DQ79" s="234"/>
      <c r="DR79" s="234"/>
      <c r="DS79" s="234"/>
      <c r="DT79" s="234"/>
      <c r="DU79" s="234"/>
      <c r="DV79" s="234"/>
      <c r="DW79" s="234"/>
      <c r="DX79" s="234"/>
      <c r="DY79" s="234"/>
      <c r="DZ79" s="234"/>
      <c r="EA79" s="234"/>
      <c r="EB79" s="234"/>
      <c r="EC79" s="234"/>
      <c r="ED79" s="234"/>
      <c r="EE79" s="234"/>
      <c r="EF79" s="234"/>
      <c r="EG79" s="234"/>
      <c r="EH79" s="234"/>
      <c r="EI79" s="234"/>
      <c r="EJ79" s="234"/>
      <c r="EK79" s="234"/>
      <c r="EL79" s="234"/>
      <c r="EM79" s="234"/>
      <c r="EN79" s="234"/>
      <c r="EO79" s="234"/>
      <c r="EP79" s="234"/>
      <c r="EQ79" s="234"/>
    </row>
    <row r="80" spans="1:147" x14ac:dyDescent="0.25">
      <c r="A80" s="223"/>
      <c r="B80" s="224"/>
      <c r="C80" s="241">
        <f>C79*2</f>
        <v>0</v>
      </c>
      <c r="D80" s="238" t="s">
        <v>364</v>
      </c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  <c r="DJ80" s="234"/>
      <c r="DK80" s="234"/>
      <c r="DL80" s="234"/>
      <c r="DM80" s="234"/>
      <c r="DN80" s="234"/>
      <c r="DO80" s="234"/>
      <c r="DP80" s="234"/>
      <c r="DQ80" s="234"/>
      <c r="DR80" s="234"/>
      <c r="DS80" s="234"/>
      <c r="DT80" s="234"/>
      <c r="DU80" s="234"/>
      <c r="DV80" s="234"/>
      <c r="DW80" s="234"/>
      <c r="DX80" s="234"/>
      <c r="DY80" s="234"/>
      <c r="DZ80" s="234"/>
      <c r="EA80" s="234"/>
      <c r="EB80" s="234"/>
      <c r="EC80" s="234"/>
      <c r="ED80" s="234"/>
      <c r="EE80" s="234"/>
      <c r="EF80" s="234"/>
      <c r="EG80" s="234"/>
      <c r="EH80" s="234"/>
      <c r="EI80" s="234"/>
      <c r="EJ80" s="234"/>
      <c r="EK80" s="234"/>
      <c r="EL80" s="234"/>
      <c r="EM80" s="234"/>
      <c r="EN80" s="234"/>
      <c r="EO80" s="234"/>
      <c r="EP80" s="234"/>
      <c r="EQ80" s="234"/>
    </row>
    <row r="81" spans="1:147" x14ac:dyDescent="0.25">
      <c r="A81" s="217" t="s">
        <v>366</v>
      </c>
      <c r="B81" s="242"/>
      <c r="C81" s="243">
        <f>C57</f>
        <v>0.09</v>
      </c>
      <c r="D81" s="238" t="s">
        <v>367</v>
      </c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4"/>
      <c r="CG81" s="234"/>
      <c r="CH81" s="234"/>
      <c r="CI81" s="234"/>
      <c r="CJ81" s="234"/>
      <c r="CK81" s="234"/>
      <c r="CL81" s="234"/>
      <c r="CM81" s="234"/>
      <c r="CN81" s="234"/>
      <c r="CO81" s="234"/>
      <c r="CP81" s="234"/>
      <c r="CQ81" s="234"/>
      <c r="CR81" s="234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  <c r="DJ81" s="234"/>
      <c r="DK81" s="234"/>
      <c r="DL81" s="234"/>
      <c r="DM81" s="234"/>
      <c r="DN81" s="234"/>
      <c r="DO81" s="234"/>
      <c r="DP81" s="234"/>
      <c r="DQ81" s="234"/>
      <c r="DR81" s="234"/>
      <c r="DS81" s="234"/>
      <c r="DT81" s="234"/>
      <c r="DU81" s="234"/>
      <c r="DV81" s="234"/>
      <c r="DW81" s="234"/>
      <c r="DX81" s="234"/>
      <c r="DY81" s="234"/>
      <c r="DZ81" s="234"/>
      <c r="EA81" s="234"/>
      <c r="EB81" s="234"/>
      <c r="EC81" s="234"/>
      <c r="ED81" s="234"/>
      <c r="EE81" s="234"/>
      <c r="EF81" s="234"/>
      <c r="EG81" s="234"/>
      <c r="EH81" s="234"/>
      <c r="EI81" s="234"/>
      <c r="EJ81" s="234"/>
      <c r="EK81" s="234"/>
      <c r="EL81" s="234"/>
      <c r="EM81" s="234"/>
      <c r="EN81" s="234"/>
      <c r="EO81" s="234"/>
      <c r="EP81" s="234"/>
      <c r="EQ81" s="234"/>
    </row>
    <row r="82" spans="1:147" x14ac:dyDescent="0.25">
      <c r="A82" s="217"/>
      <c r="B82" s="242"/>
      <c r="C82" s="244">
        <f>((1+C81)^(1/2))-1</f>
        <v>4.4030650891055068E-2</v>
      </c>
      <c r="D82" s="238" t="s">
        <v>368</v>
      </c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4"/>
      <c r="EA82" s="234"/>
      <c r="EB82" s="234"/>
      <c r="EC82" s="234"/>
      <c r="ED82" s="234"/>
      <c r="EE82" s="234"/>
      <c r="EF82" s="234"/>
      <c r="EG82" s="234"/>
      <c r="EH82" s="234"/>
      <c r="EI82" s="234"/>
      <c r="EJ82" s="234"/>
      <c r="EK82" s="234"/>
      <c r="EL82" s="234"/>
      <c r="EM82" s="234"/>
      <c r="EN82" s="234"/>
      <c r="EO82" s="234"/>
      <c r="EP82" s="234"/>
      <c r="EQ82" s="234"/>
    </row>
    <row r="83" spans="1:147" x14ac:dyDescent="0.25">
      <c r="A83" s="239" t="s">
        <v>369</v>
      </c>
      <c r="B83" s="240"/>
      <c r="C83" s="244">
        <f>C59</f>
        <v>0.09</v>
      </c>
      <c r="D83" s="238" t="s">
        <v>367</v>
      </c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  <c r="AV83" s="234"/>
      <c r="AW83" s="234"/>
      <c r="AX83" s="234"/>
      <c r="AY83" s="234"/>
      <c r="AZ83" s="234"/>
      <c r="BA83" s="234"/>
      <c r="BB83" s="234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234"/>
      <c r="BN83" s="234"/>
      <c r="BO83" s="234"/>
      <c r="BP83" s="234"/>
      <c r="BQ83" s="234"/>
      <c r="BR83" s="234"/>
      <c r="BS83" s="234"/>
      <c r="BT83" s="234"/>
      <c r="BU83" s="234"/>
      <c r="BV83" s="234"/>
      <c r="BW83" s="234"/>
      <c r="BX83" s="234"/>
      <c r="BY83" s="234"/>
      <c r="BZ83" s="234"/>
      <c r="CA83" s="234"/>
      <c r="CB83" s="234"/>
      <c r="CC83" s="234"/>
      <c r="CD83" s="234"/>
      <c r="CE83" s="234"/>
      <c r="CF83" s="234"/>
      <c r="CG83" s="234"/>
      <c r="CH83" s="234"/>
      <c r="CI83" s="234"/>
      <c r="CJ83" s="234"/>
      <c r="CK83" s="234"/>
      <c r="CL83" s="234"/>
      <c r="CM83" s="234"/>
      <c r="CN83" s="234"/>
      <c r="CO83" s="234"/>
      <c r="CP83" s="234"/>
      <c r="CQ83" s="234"/>
      <c r="CR83" s="234"/>
      <c r="CS83" s="234"/>
      <c r="CT83" s="234"/>
      <c r="CU83" s="234"/>
      <c r="CV83" s="234"/>
      <c r="CW83" s="234"/>
      <c r="CX83" s="234"/>
      <c r="CY83" s="234"/>
      <c r="CZ83" s="234"/>
      <c r="DA83" s="234"/>
      <c r="DB83" s="234"/>
      <c r="DC83" s="234"/>
      <c r="DD83" s="234"/>
      <c r="DE83" s="234"/>
      <c r="DF83" s="234"/>
      <c r="DG83" s="234"/>
      <c r="DH83" s="234"/>
      <c r="DI83" s="234"/>
      <c r="DJ83" s="234"/>
      <c r="DK83" s="234"/>
      <c r="DL83" s="234"/>
      <c r="DM83" s="234"/>
      <c r="DN83" s="234"/>
      <c r="DO83" s="234"/>
      <c r="DP83" s="234"/>
      <c r="DQ83" s="234"/>
      <c r="DR83" s="234"/>
      <c r="DS83" s="234"/>
      <c r="DT83" s="234"/>
      <c r="DU83" s="234"/>
      <c r="DV83" s="234"/>
      <c r="DW83" s="234"/>
      <c r="DX83" s="234"/>
      <c r="DY83" s="234"/>
      <c r="DZ83" s="234"/>
      <c r="EA83" s="234"/>
      <c r="EB83" s="234"/>
      <c r="EC83" s="234"/>
      <c r="ED83" s="234"/>
      <c r="EE83" s="234"/>
      <c r="EF83" s="234"/>
      <c r="EG83" s="234"/>
      <c r="EH83" s="234"/>
      <c r="EI83" s="234"/>
      <c r="EJ83" s="234"/>
      <c r="EK83" s="234"/>
      <c r="EL83" s="234"/>
      <c r="EM83" s="234"/>
      <c r="EN83" s="234"/>
      <c r="EO83" s="234"/>
      <c r="EP83" s="234"/>
      <c r="EQ83" s="234"/>
    </row>
    <row r="84" spans="1:147" x14ac:dyDescent="0.25">
      <c r="A84" s="223"/>
      <c r="B84" s="224"/>
      <c r="C84" s="244">
        <f>((1+C83)^(1/2))-1</f>
        <v>4.4030650891055068E-2</v>
      </c>
      <c r="D84" s="238" t="s">
        <v>368</v>
      </c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234"/>
      <c r="BT84" s="234"/>
      <c r="BU84" s="234"/>
      <c r="BV84" s="234"/>
      <c r="BW84" s="234"/>
      <c r="BX84" s="234"/>
      <c r="BY84" s="234"/>
      <c r="BZ84" s="234"/>
      <c r="CA84" s="234"/>
      <c r="CB84" s="234"/>
      <c r="CC84" s="234"/>
      <c r="CD84" s="234"/>
      <c r="CE84" s="234"/>
      <c r="CF84" s="234"/>
      <c r="CG84" s="234"/>
      <c r="CH84" s="234"/>
      <c r="CI84" s="234"/>
      <c r="CJ84" s="234"/>
      <c r="CK84" s="234"/>
      <c r="CL84" s="234"/>
      <c r="CM84" s="234"/>
      <c r="CN84" s="234"/>
      <c r="CO84" s="234"/>
      <c r="CP84" s="234"/>
      <c r="CQ84" s="234"/>
      <c r="CR84" s="234"/>
      <c r="CS84" s="234"/>
      <c r="CT84" s="234"/>
      <c r="CU84" s="234"/>
      <c r="CV84" s="234"/>
      <c r="CW84" s="234"/>
      <c r="CX84" s="234"/>
      <c r="CY84" s="234"/>
      <c r="CZ84" s="234"/>
      <c r="DA84" s="234"/>
      <c r="DB84" s="234"/>
      <c r="DC84" s="234"/>
      <c r="DD84" s="234"/>
      <c r="DE84" s="234"/>
      <c r="DF84" s="234"/>
      <c r="DG84" s="234"/>
      <c r="DH84" s="234"/>
      <c r="DI84" s="234"/>
      <c r="DJ84" s="234"/>
      <c r="DK84" s="234"/>
      <c r="DL84" s="234"/>
      <c r="DM84" s="234"/>
      <c r="DN84" s="234"/>
      <c r="DO84" s="234"/>
      <c r="DP84" s="234"/>
      <c r="DQ84" s="234"/>
      <c r="DR84" s="234"/>
      <c r="DS84" s="234"/>
      <c r="DT84" s="234"/>
      <c r="DU84" s="234"/>
      <c r="DV84" s="234"/>
      <c r="DW84" s="234"/>
      <c r="DX84" s="234"/>
      <c r="DY84" s="234"/>
      <c r="DZ84" s="234"/>
      <c r="EA84" s="234"/>
      <c r="EB84" s="234"/>
      <c r="EC84" s="234"/>
      <c r="ED84" s="234"/>
      <c r="EE84" s="234"/>
      <c r="EF84" s="234"/>
      <c r="EG84" s="234"/>
      <c r="EH84" s="234"/>
      <c r="EI84" s="234"/>
      <c r="EJ84" s="234"/>
      <c r="EK84" s="234"/>
      <c r="EL84" s="234"/>
      <c r="EM84" s="234"/>
      <c r="EN84" s="234"/>
      <c r="EO84" s="234"/>
      <c r="EP84" s="234"/>
      <c r="EQ84" s="234"/>
    </row>
    <row r="85" spans="1:147" x14ac:dyDescent="0.25">
      <c r="A85" s="226" t="s">
        <v>370</v>
      </c>
      <c r="B85" s="227"/>
      <c r="C85" s="245">
        <f>SUMIF(87:87,C78,89:89)</f>
        <v>47574</v>
      </c>
      <c r="D85" s="238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  <c r="BN85" s="234"/>
      <c r="BO85" s="234"/>
      <c r="BP85" s="234"/>
      <c r="BQ85" s="234"/>
      <c r="BR85" s="246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4"/>
      <c r="CG85" s="234"/>
      <c r="CH85" s="234"/>
      <c r="CI85" s="234"/>
      <c r="CJ85" s="234"/>
      <c r="CK85" s="234"/>
      <c r="CL85" s="234"/>
      <c r="CM85" s="234"/>
      <c r="CN85" s="234"/>
      <c r="CO85" s="234"/>
      <c r="CP85" s="234"/>
      <c r="CQ85" s="234"/>
      <c r="CR85" s="234"/>
      <c r="CS85" s="234"/>
      <c r="CT85" s="234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234"/>
      <c r="DF85" s="234"/>
      <c r="DG85" s="234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234"/>
      <c r="DX85" s="234"/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234"/>
      <c r="EL85" s="234"/>
      <c r="EM85" s="234"/>
      <c r="EN85" s="234"/>
      <c r="EO85" s="234"/>
      <c r="EP85" s="234"/>
      <c r="EQ85" s="234"/>
    </row>
    <row r="86" spans="1:147" x14ac:dyDescent="0.25">
      <c r="A86" s="230" t="s">
        <v>371</v>
      </c>
      <c r="B86" s="231"/>
      <c r="C86" s="247">
        <f>C62</f>
        <v>5.0000000000000001E-3</v>
      </c>
      <c r="D86" s="248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  <c r="BN86" s="234"/>
      <c r="BO86" s="234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4"/>
      <c r="CH86" s="234"/>
      <c r="CI86" s="234"/>
      <c r="CJ86" s="234"/>
      <c r="CK86" s="234"/>
      <c r="CL86" s="234"/>
      <c r="CM86" s="234"/>
      <c r="CN86" s="234"/>
      <c r="CO86" s="234"/>
      <c r="CP86" s="234"/>
      <c r="CQ86" s="234"/>
      <c r="CR86" s="234"/>
      <c r="CS86" s="234"/>
      <c r="CT86" s="234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234"/>
      <c r="DF86" s="234"/>
      <c r="DG86" s="234"/>
      <c r="DH86" s="234"/>
      <c r="DI86" s="234"/>
      <c r="DJ86" s="234"/>
      <c r="DK86" s="234"/>
      <c r="DL86" s="234"/>
      <c r="DM86" s="234"/>
      <c r="DN86" s="234"/>
      <c r="DO86" s="234"/>
      <c r="DP86" s="234"/>
      <c r="DQ86" s="234"/>
      <c r="DR86" s="234"/>
      <c r="DS86" s="234"/>
      <c r="DT86" s="234"/>
      <c r="DU86" s="234"/>
      <c r="DV86" s="234"/>
      <c r="DW86" s="234"/>
      <c r="DX86" s="234"/>
      <c r="DY86" s="234"/>
      <c r="DZ86" s="234"/>
      <c r="EA86" s="234"/>
      <c r="EB86" s="234"/>
      <c r="EC86" s="234"/>
      <c r="ED86" s="234"/>
      <c r="EE86" s="234"/>
      <c r="EF86" s="234"/>
      <c r="EG86" s="234"/>
      <c r="EH86" s="234"/>
      <c r="EI86" s="234"/>
      <c r="EJ86" s="234"/>
      <c r="EK86" s="234"/>
      <c r="EL86" s="234"/>
      <c r="EM86" s="234"/>
      <c r="EN86" s="234"/>
      <c r="EO86" s="234"/>
      <c r="EP86" s="234"/>
      <c r="EQ86" s="234"/>
    </row>
    <row r="87" spans="1:147" x14ac:dyDescent="0.25">
      <c r="C87" s="249"/>
      <c r="D87" s="234"/>
      <c r="E87" s="234"/>
      <c r="F87" s="234"/>
      <c r="G87" s="18">
        <f t="shared" ref="G87:R87" si="77">IF(G90=DATE(YEAR($C$27),MONTH($C$27)+6,DAY($C$27)),1,IF(AND(A87&gt;0,A87&lt;$C78,G90&gt;=DATE(YEAR($C$27),MONTH($C$27)+6,DAY($C$27)-1)),A87+1,0))+IF(AND(G89=DATE(YEAR($C75),MONTH($C75)+6,DAY($C75))),1,0)</f>
        <v>0</v>
      </c>
      <c r="H87" s="18">
        <f t="shared" si="77"/>
        <v>0</v>
      </c>
      <c r="I87" s="18">
        <f t="shared" si="77"/>
        <v>0</v>
      </c>
      <c r="J87" s="18">
        <f t="shared" si="77"/>
        <v>0</v>
      </c>
      <c r="K87" s="18">
        <f t="shared" si="77"/>
        <v>0</v>
      </c>
      <c r="L87" s="18">
        <f t="shared" si="77"/>
        <v>0</v>
      </c>
      <c r="M87" s="18">
        <f t="shared" si="77"/>
        <v>0</v>
      </c>
      <c r="N87" s="18">
        <f t="shared" si="77"/>
        <v>0</v>
      </c>
      <c r="O87" s="18">
        <f t="shared" si="77"/>
        <v>0</v>
      </c>
      <c r="P87" s="18">
        <f t="shared" si="77"/>
        <v>0</v>
      </c>
      <c r="Q87" s="18">
        <f t="shared" si="77"/>
        <v>0</v>
      </c>
      <c r="R87" s="18">
        <f t="shared" si="77"/>
        <v>0</v>
      </c>
      <c r="S87" s="18">
        <f>IF(S90=DATE(YEAR($C$27),MONTH($C$27)+6,DAY($C$27)),1,IF(AND(M87&gt;0,M87&lt;$C78,S90&gt;=DATE(YEAR($C$27),MONTH($C$27)+6,DAY($C$27)-1)),M87+1,0))+IF(AND(S89=DATE(YEAR($C75),MONTH($C75)+6,DAY($C75))),1,0)</f>
        <v>0</v>
      </c>
      <c r="T87" s="18">
        <f t="shared" ref="T87:CE87" si="78">IF(T90=DATE(YEAR($C$27),MONTH($C$27)+6,DAY($C$27)),1,IF(AND(N87&gt;0,N87&lt;$C78,T90&gt;=DATE(YEAR($C$27),MONTH($C$27)+6,DAY($C$27)-1)),N87+1,0))+IF(AND(T89=DATE(YEAR($C75),MONTH($C75)+6,DAY($C75))),1,0)</f>
        <v>0</v>
      </c>
      <c r="U87" s="18">
        <f t="shared" si="78"/>
        <v>0</v>
      </c>
      <c r="V87" s="18">
        <f t="shared" si="78"/>
        <v>0</v>
      </c>
      <c r="W87" s="18">
        <f t="shared" si="78"/>
        <v>0</v>
      </c>
      <c r="X87" s="18">
        <f t="shared" si="78"/>
        <v>0</v>
      </c>
      <c r="Y87" s="18">
        <f t="shared" si="78"/>
        <v>0</v>
      </c>
      <c r="Z87" s="18">
        <f t="shared" si="78"/>
        <v>0</v>
      </c>
      <c r="AA87" s="18">
        <f t="shared" si="78"/>
        <v>0</v>
      </c>
      <c r="AB87" s="18">
        <f t="shared" si="78"/>
        <v>0</v>
      </c>
      <c r="AC87" s="18">
        <f t="shared" si="78"/>
        <v>0</v>
      </c>
      <c r="AD87" s="18">
        <f t="shared" si="78"/>
        <v>0</v>
      </c>
      <c r="AE87" s="18">
        <f t="shared" si="78"/>
        <v>0</v>
      </c>
      <c r="AF87" s="18">
        <f t="shared" si="78"/>
        <v>0</v>
      </c>
      <c r="AG87" s="18">
        <f t="shared" si="78"/>
        <v>0</v>
      </c>
      <c r="AH87" s="18">
        <f t="shared" si="78"/>
        <v>0</v>
      </c>
      <c r="AI87" s="18">
        <f t="shared" si="78"/>
        <v>0</v>
      </c>
      <c r="AJ87" s="18">
        <f t="shared" si="78"/>
        <v>0</v>
      </c>
      <c r="AK87" s="18">
        <f t="shared" si="78"/>
        <v>1</v>
      </c>
      <c r="AL87" s="18">
        <f t="shared" si="78"/>
        <v>0</v>
      </c>
      <c r="AM87" s="18">
        <f t="shared" si="78"/>
        <v>0</v>
      </c>
      <c r="AN87" s="18">
        <f t="shared" si="78"/>
        <v>0</v>
      </c>
      <c r="AO87" s="18">
        <f t="shared" si="78"/>
        <v>0</v>
      </c>
      <c r="AP87" s="18">
        <f t="shared" si="78"/>
        <v>0</v>
      </c>
      <c r="AQ87" s="18">
        <f t="shared" si="78"/>
        <v>2</v>
      </c>
      <c r="AR87" s="18">
        <f t="shared" si="78"/>
        <v>0</v>
      </c>
      <c r="AS87" s="18">
        <f t="shared" si="78"/>
        <v>0</v>
      </c>
      <c r="AT87" s="18">
        <f t="shared" si="78"/>
        <v>0</v>
      </c>
      <c r="AU87" s="18">
        <f t="shared" si="78"/>
        <v>0</v>
      </c>
      <c r="AV87" s="18">
        <f t="shared" si="78"/>
        <v>0</v>
      </c>
      <c r="AW87" s="18">
        <f t="shared" si="78"/>
        <v>3</v>
      </c>
      <c r="AX87" s="18">
        <f t="shared" si="78"/>
        <v>0</v>
      </c>
      <c r="AY87" s="18">
        <f t="shared" si="78"/>
        <v>0</v>
      </c>
      <c r="AZ87" s="18">
        <f t="shared" si="78"/>
        <v>0</v>
      </c>
      <c r="BA87" s="18">
        <f t="shared" si="78"/>
        <v>0</v>
      </c>
      <c r="BB87" s="18">
        <f t="shared" si="78"/>
        <v>0</v>
      </c>
      <c r="BC87" s="18">
        <f t="shared" si="78"/>
        <v>4</v>
      </c>
      <c r="BD87" s="18">
        <f t="shared" si="78"/>
        <v>0</v>
      </c>
      <c r="BE87" s="18">
        <f t="shared" si="78"/>
        <v>0</v>
      </c>
      <c r="BF87" s="18">
        <f t="shared" si="78"/>
        <v>0</v>
      </c>
      <c r="BG87" s="18">
        <f t="shared" si="78"/>
        <v>0</v>
      </c>
      <c r="BH87" s="18">
        <f t="shared" si="78"/>
        <v>0</v>
      </c>
      <c r="BI87" s="18">
        <f t="shared" si="78"/>
        <v>5</v>
      </c>
      <c r="BJ87" s="18">
        <f t="shared" si="78"/>
        <v>0</v>
      </c>
      <c r="BK87" s="18">
        <f t="shared" si="78"/>
        <v>0</v>
      </c>
      <c r="BL87" s="18">
        <f t="shared" si="78"/>
        <v>0</v>
      </c>
      <c r="BM87" s="18">
        <f t="shared" si="78"/>
        <v>0</v>
      </c>
      <c r="BN87" s="18">
        <f t="shared" si="78"/>
        <v>0</v>
      </c>
      <c r="BO87" s="18">
        <f t="shared" si="78"/>
        <v>6</v>
      </c>
      <c r="BP87" s="18">
        <f t="shared" si="78"/>
        <v>0</v>
      </c>
      <c r="BQ87" s="18">
        <f t="shared" si="78"/>
        <v>0</v>
      </c>
      <c r="BR87" s="18">
        <f t="shared" si="78"/>
        <v>0</v>
      </c>
      <c r="BS87" s="18">
        <f t="shared" si="78"/>
        <v>0</v>
      </c>
      <c r="BT87" s="18">
        <f t="shared" si="78"/>
        <v>0</v>
      </c>
      <c r="BU87" s="18">
        <f t="shared" si="78"/>
        <v>7</v>
      </c>
      <c r="BV87" s="18">
        <f t="shared" si="78"/>
        <v>0</v>
      </c>
      <c r="BW87" s="18">
        <f t="shared" si="78"/>
        <v>0</v>
      </c>
      <c r="BX87" s="18">
        <f t="shared" si="78"/>
        <v>0</v>
      </c>
      <c r="BY87" s="18">
        <f t="shared" si="78"/>
        <v>0</v>
      </c>
      <c r="BZ87" s="18">
        <f t="shared" si="78"/>
        <v>0</v>
      </c>
      <c r="CA87" s="18">
        <f t="shared" si="78"/>
        <v>8</v>
      </c>
      <c r="CB87" s="18">
        <f t="shared" si="78"/>
        <v>0</v>
      </c>
      <c r="CC87" s="18">
        <f t="shared" si="78"/>
        <v>0</v>
      </c>
      <c r="CD87" s="18">
        <f t="shared" si="78"/>
        <v>0</v>
      </c>
      <c r="CE87" s="18">
        <f t="shared" si="78"/>
        <v>0</v>
      </c>
      <c r="CF87" s="18">
        <f t="shared" ref="CF87:EQ87" si="79">IF(CF90=DATE(YEAR($C$27),MONTH($C$27)+6,DAY($C$27)),1,IF(AND(BZ87&gt;0,BZ87&lt;$C78,CF90&gt;=DATE(YEAR($C$27),MONTH($C$27)+6,DAY($C$27)-1)),BZ87+1,0))+IF(AND(CF89=DATE(YEAR($C75),MONTH($C75)+6,DAY($C75))),1,0)</f>
        <v>0</v>
      </c>
      <c r="CG87" s="18">
        <f t="shared" si="79"/>
        <v>9</v>
      </c>
      <c r="CH87" s="18">
        <f t="shared" si="79"/>
        <v>0</v>
      </c>
      <c r="CI87" s="18">
        <f t="shared" si="79"/>
        <v>0</v>
      </c>
      <c r="CJ87" s="18">
        <f t="shared" si="79"/>
        <v>0</v>
      </c>
      <c r="CK87" s="18">
        <f t="shared" si="79"/>
        <v>0</v>
      </c>
      <c r="CL87" s="18">
        <f t="shared" si="79"/>
        <v>0</v>
      </c>
      <c r="CM87" s="18">
        <f t="shared" si="79"/>
        <v>10</v>
      </c>
      <c r="CN87" s="18">
        <f t="shared" si="79"/>
        <v>0</v>
      </c>
      <c r="CO87" s="18">
        <f t="shared" si="79"/>
        <v>0</v>
      </c>
      <c r="CP87" s="18">
        <f t="shared" si="79"/>
        <v>0</v>
      </c>
      <c r="CQ87" s="18">
        <f t="shared" si="79"/>
        <v>0</v>
      </c>
      <c r="CR87" s="18">
        <f t="shared" si="79"/>
        <v>0</v>
      </c>
      <c r="CS87" s="18">
        <f t="shared" si="79"/>
        <v>11</v>
      </c>
      <c r="CT87" s="18">
        <f t="shared" si="79"/>
        <v>0</v>
      </c>
      <c r="CU87" s="18">
        <f t="shared" si="79"/>
        <v>0</v>
      </c>
      <c r="CV87" s="18">
        <f t="shared" si="79"/>
        <v>0</v>
      </c>
      <c r="CW87" s="18">
        <f t="shared" si="79"/>
        <v>0</v>
      </c>
      <c r="CX87" s="18">
        <f t="shared" si="79"/>
        <v>0</v>
      </c>
      <c r="CY87" s="18">
        <f t="shared" si="79"/>
        <v>12</v>
      </c>
      <c r="CZ87" s="18">
        <f t="shared" si="79"/>
        <v>0</v>
      </c>
      <c r="DA87" s="18">
        <f t="shared" si="79"/>
        <v>0</v>
      </c>
      <c r="DB87" s="18">
        <f t="shared" si="79"/>
        <v>0</v>
      </c>
      <c r="DC87" s="18">
        <f t="shared" si="79"/>
        <v>0</v>
      </c>
      <c r="DD87" s="18">
        <f t="shared" si="79"/>
        <v>0</v>
      </c>
      <c r="DE87" s="18">
        <f t="shared" si="79"/>
        <v>13</v>
      </c>
      <c r="DF87" s="18">
        <f t="shared" si="79"/>
        <v>0</v>
      </c>
      <c r="DG87" s="18">
        <f t="shared" si="79"/>
        <v>0</v>
      </c>
      <c r="DH87" s="18">
        <f t="shared" si="79"/>
        <v>0</v>
      </c>
      <c r="DI87" s="18">
        <f t="shared" si="79"/>
        <v>0</v>
      </c>
      <c r="DJ87" s="18">
        <f t="shared" si="79"/>
        <v>0</v>
      </c>
      <c r="DK87" s="18">
        <f t="shared" si="79"/>
        <v>14</v>
      </c>
      <c r="DL87" s="18">
        <f t="shared" si="79"/>
        <v>0</v>
      </c>
      <c r="DM87" s="18">
        <f t="shared" si="79"/>
        <v>0</v>
      </c>
      <c r="DN87" s="18">
        <f t="shared" si="79"/>
        <v>0</v>
      </c>
      <c r="DO87" s="18">
        <f t="shared" si="79"/>
        <v>0</v>
      </c>
      <c r="DP87" s="18">
        <f t="shared" si="79"/>
        <v>0</v>
      </c>
      <c r="DQ87" s="18">
        <f t="shared" si="79"/>
        <v>15</v>
      </c>
      <c r="DR87" s="18">
        <f t="shared" si="79"/>
        <v>0</v>
      </c>
      <c r="DS87" s="18">
        <f t="shared" si="79"/>
        <v>0</v>
      </c>
      <c r="DT87" s="18">
        <f t="shared" si="79"/>
        <v>0</v>
      </c>
      <c r="DU87" s="18">
        <f t="shared" si="79"/>
        <v>0</v>
      </c>
      <c r="DV87" s="18">
        <f t="shared" si="79"/>
        <v>0</v>
      </c>
      <c r="DW87" s="18">
        <f t="shared" si="79"/>
        <v>16</v>
      </c>
      <c r="DX87" s="18">
        <f t="shared" si="79"/>
        <v>0</v>
      </c>
      <c r="DY87" s="18">
        <f t="shared" si="79"/>
        <v>0</v>
      </c>
      <c r="DZ87" s="18">
        <f t="shared" si="79"/>
        <v>0</v>
      </c>
      <c r="EA87" s="18">
        <f t="shared" si="79"/>
        <v>0</v>
      </c>
      <c r="EB87" s="18">
        <f t="shared" si="79"/>
        <v>0</v>
      </c>
      <c r="EC87" s="18">
        <f t="shared" si="79"/>
        <v>0</v>
      </c>
      <c r="ED87" s="18">
        <f t="shared" si="79"/>
        <v>0</v>
      </c>
      <c r="EE87" s="18">
        <f t="shared" si="79"/>
        <v>0</v>
      </c>
      <c r="EF87" s="18">
        <f t="shared" si="79"/>
        <v>0</v>
      </c>
      <c r="EG87" s="18">
        <f t="shared" si="79"/>
        <v>0</v>
      </c>
      <c r="EH87" s="18">
        <f t="shared" si="79"/>
        <v>0</v>
      </c>
      <c r="EI87" s="18">
        <f t="shared" si="79"/>
        <v>0</v>
      </c>
      <c r="EJ87" s="18">
        <f t="shared" si="79"/>
        <v>0</v>
      </c>
      <c r="EK87" s="18">
        <f t="shared" si="79"/>
        <v>0</v>
      </c>
      <c r="EL87" s="18">
        <f t="shared" si="79"/>
        <v>0</v>
      </c>
      <c r="EM87" s="18">
        <f t="shared" si="79"/>
        <v>0</v>
      </c>
      <c r="EN87" s="18">
        <f t="shared" si="79"/>
        <v>0</v>
      </c>
      <c r="EO87" s="18">
        <f t="shared" si="79"/>
        <v>0</v>
      </c>
      <c r="EP87" s="18">
        <f t="shared" si="79"/>
        <v>0</v>
      </c>
      <c r="EQ87" s="18">
        <f t="shared" si="79"/>
        <v>0</v>
      </c>
    </row>
    <row r="88" spans="1:147" ht="15.75" x14ac:dyDescent="0.25">
      <c r="A88" s="380" t="s">
        <v>281</v>
      </c>
      <c r="B88" s="274"/>
      <c r="C88" s="383" t="s">
        <v>45</v>
      </c>
      <c r="D88" s="266">
        <v>2020</v>
      </c>
      <c r="E88" s="267">
        <v>2020</v>
      </c>
      <c r="F88" s="267">
        <v>2020</v>
      </c>
      <c r="G88" s="267">
        <v>2020</v>
      </c>
      <c r="H88" s="267">
        <v>2020</v>
      </c>
      <c r="I88" s="267">
        <v>2020</v>
      </c>
      <c r="J88" s="267">
        <v>2020</v>
      </c>
      <c r="K88" s="267">
        <v>2020</v>
      </c>
      <c r="L88" s="267">
        <v>2020</v>
      </c>
      <c r="M88" s="267">
        <v>2020</v>
      </c>
      <c r="N88" s="267">
        <v>2020</v>
      </c>
      <c r="O88" s="267">
        <v>2020</v>
      </c>
      <c r="P88" s="267">
        <f>O88+1</f>
        <v>2021</v>
      </c>
      <c r="Q88" s="267">
        <f t="shared" ref="Q88:AA88" si="80">P88</f>
        <v>2021</v>
      </c>
      <c r="R88" s="267">
        <f t="shared" si="80"/>
        <v>2021</v>
      </c>
      <c r="S88" s="267">
        <f t="shared" si="80"/>
        <v>2021</v>
      </c>
      <c r="T88" s="267">
        <f t="shared" si="80"/>
        <v>2021</v>
      </c>
      <c r="U88" s="267">
        <f t="shared" si="80"/>
        <v>2021</v>
      </c>
      <c r="V88" s="267">
        <f t="shared" si="80"/>
        <v>2021</v>
      </c>
      <c r="W88" s="267">
        <f t="shared" si="80"/>
        <v>2021</v>
      </c>
      <c r="X88" s="267">
        <f t="shared" si="80"/>
        <v>2021</v>
      </c>
      <c r="Y88" s="267">
        <f t="shared" si="80"/>
        <v>2021</v>
      </c>
      <c r="Z88" s="267">
        <f t="shared" si="80"/>
        <v>2021</v>
      </c>
      <c r="AA88" s="267">
        <f t="shared" si="80"/>
        <v>2021</v>
      </c>
      <c r="AB88" s="267">
        <f>AA88+1</f>
        <v>2022</v>
      </c>
      <c r="AC88" s="267">
        <f t="shared" ref="AC88:AM88" si="81">AB88</f>
        <v>2022</v>
      </c>
      <c r="AD88" s="267">
        <f t="shared" si="81"/>
        <v>2022</v>
      </c>
      <c r="AE88" s="267">
        <f t="shared" si="81"/>
        <v>2022</v>
      </c>
      <c r="AF88" s="267">
        <f t="shared" si="81"/>
        <v>2022</v>
      </c>
      <c r="AG88" s="267">
        <f t="shared" si="81"/>
        <v>2022</v>
      </c>
      <c r="AH88" s="267">
        <f t="shared" si="81"/>
        <v>2022</v>
      </c>
      <c r="AI88" s="267">
        <f t="shared" si="81"/>
        <v>2022</v>
      </c>
      <c r="AJ88" s="267">
        <f t="shared" si="81"/>
        <v>2022</v>
      </c>
      <c r="AK88" s="267">
        <f t="shared" si="81"/>
        <v>2022</v>
      </c>
      <c r="AL88" s="267">
        <f t="shared" si="81"/>
        <v>2022</v>
      </c>
      <c r="AM88" s="267">
        <f t="shared" si="81"/>
        <v>2022</v>
      </c>
      <c r="AN88" s="267">
        <f>AM88+1</f>
        <v>2023</v>
      </c>
      <c r="AO88" s="267">
        <f t="shared" ref="AO88:AY88" si="82">AN88</f>
        <v>2023</v>
      </c>
      <c r="AP88" s="267">
        <f t="shared" si="82"/>
        <v>2023</v>
      </c>
      <c r="AQ88" s="267">
        <f t="shared" si="82"/>
        <v>2023</v>
      </c>
      <c r="AR88" s="267">
        <f t="shared" si="82"/>
        <v>2023</v>
      </c>
      <c r="AS88" s="267">
        <f t="shared" si="82"/>
        <v>2023</v>
      </c>
      <c r="AT88" s="267">
        <f t="shared" si="82"/>
        <v>2023</v>
      </c>
      <c r="AU88" s="267">
        <f t="shared" si="82"/>
        <v>2023</v>
      </c>
      <c r="AV88" s="267">
        <f t="shared" si="82"/>
        <v>2023</v>
      </c>
      <c r="AW88" s="267">
        <f t="shared" si="82"/>
        <v>2023</v>
      </c>
      <c r="AX88" s="267">
        <f t="shared" si="82"/>
        <v>2023</v>
      </c>
      <c r="AY88" s="267">
        <f t="shared" si="82"/>
        <v>2023</v>
      </c>
      <c r="AZ88" s="267">
        <f>AY88+1</f>
        <v>2024</v>
      </c>
      <c r="BA88" s="267">
        <f t="shared" ref="BA88:BK88" si="83">AZ88</f>
        <v>2024</v>
      </c>
      <c r="BB88" s="267">
        <f t="shared" si="83"/>
        <v>2024</v>
      </c>
      <c r="BC88" s="267">
        <f t="shared" si="83"/>
        <v>2024</v>
      </c>
      <c r="BD88" s="267">
        <f t="shared" si="83"/>
        <v>2024</v>
      </c>
      <c r="BE88" s="267">
        <f t="shared" si="83"/>
        <v>2024</v>
      </c>
      <c r="BF88" s="267">
        <f t="shared" si="83"/>
        <v>2024</v>
      </c>
      <c r="BG88" s="267">
        <f t="shared" si="83"/>
        <v>2024</v>
      </c>
      <c r="BH88" s="267">
        <f t="shared" si="83"/>
        <v>2024</v>
      </c>
      <c r="BI88" s="267">
        <f t="shared" si="83"/>
        <v>2024</v>
      </c>
      <c r="BJ88" s="267">
        <f t="shared" si="83"/>
        <v>2024</v>
      </c>
      <c r="BK88" s="267">
        <f t="shared" si="83"/>
        <v>2024</v>
      </c>
      <c r="BL88" s="267">
        <f>BK88+1</f>
        <v>2025</v>
      </c>
      <c r="BM88" s="267">
        <f t="shared" ref="BM88:BW88" si="84">BL88</f>
        <v>2025</v>
      </c>
      <c r="BN88" s="267">
        <f t="shared" si="84"/>
        <v>2025</v>
      </c>
      <c r="BO88" s="267">
        <f t="shared" si="84"/>
        <v>2025</v>
      </c>
      <c r="BP88" s="267">
        <f t="shared" si="84"/>
        <v>2025</v>
      </c>
      <c r="BQ88" s="267">
        <f t="shared" si="84"/>
        <v>2025</v>
      </c>
      <c r="BR88" s="267">
        <f t="shared" si="84"/>
        <v>2025</v>
      </c>
      <c r="BS88" s="267">
        <f t="shared" si="84"/>
        <v>2025</v>
      </c>
      <c r="BT88" s="267">
        <f t="shared" si="84"/>
        <v>2025</v>
      </c>
      <c r="BU88" s="267">
        <f t="shared" si="84"/>
        <v>2025</v>
      </c>
      <c r="BV88" s="267">
        <f t="shared" si="84"/>
        <v>2025</v>
      </c>
      <c r="BW88" s="267">
        <f t="shared" si="84"/>
        <v>2025</v>
      </c>
      <c r="BX88" s="267">
        <f>BW88+1</f>
        <v>2026</v>
      </c>
      <c r="BY88" s="267">
        <f t="shared" ref="BY88:CI88" si="85">BX88</f>
        <v>2026</v>
      </c>
      <c r="BZ88" s="267">
        <f t="shared" si="85"/>
        <v>2026</v>
      </c>
      <c r="CA88" s="267">
        <f t="shared" si="85"/>
        <v>2026</v>
      </c>
      <c r="CB88" s="267">
        <f t="shared" si="85"/>
        <v>2026</v>
      </c>
      <c r="CC88" s="267">
        <f t="shared" si="85"/>
        <v>2026</v>
      </c>
      <c r="CD88" s="267">
        <f t="shared" si="85"/>
        <v>2026</v>
      </c>
      <c r="CE88" s="267">
        <f t="shared" si="85"/>
        <v>2026</v>
      </c>
      <c r="CF88" s="267">
        <f t="shared" si="85"/>
        <v>2026</v>
      </c>
      <c r="CG88" s="267">
        <f t="shared" si="85"/>
        <v>2026</v>
      </c>
      <c r="CH88" s="267">
        <f t="shared" si="85"/>
        <v>2026</v>
      </c>
      <c r="CI88" s="267">
        <f t="shared" si="85"/>
        <v>2026</v>
      </c>
      <c r="CJ88" s="267">
        <f>CI88+1</f>
        <v>2027</v>
      </c>
      <c r="CK88" s="267">
        <f t="shared" ref="CK88:CU88" si="86">CJ88</f>
        <v>2027</v>
      </c>
      <c r="CL88" s="267">
        <f t="shared" si="86"/>
        <v>2027</v>
      </c>
      <c r="CM88" s="267">
        <f t="shared" si="86"/>
        <v>2027</v>
      </c>
      <c r="CN88" s="267">
        <f t="shared" si="86"/>
        <v>2027</v>
      </c>
      <c r="CO88" s="267">
        <f t="shared" si="86"/>
        <v>2027</v>
      </c>
      <c r="CP88" s="267">
        <f t="shared" si="86"/>
        <v>2027</v>
      </c>
      <c r="CQ88" s="267">
        <f t="shared" si="86"/>
        <v>2027</v>
      </c>
      <c r="CR88" s="267">
        <f t="shared" si="86"/>
        <v>2027</v>
      </c>
      <c r="CS88" s="267">
        <f t="shared" si="86"/>
        <v>2027</v>
      </c>
      <c r="CT88" s="267">
        <f t="shared" si="86"/>
        <v>2027</v>
      </c>
      <c r="CU88" s="267">
        <f t="shared" si="86"/>
        <v>2027</v>
      </c>
      <c r="CV88" s="267">
        <f>CU88+1</f>
        <v>2028</v>
      </c>
      <c r="CW88" s="267">
        <f t="shared" ref="CW88:DG88" si="87">CV88</f>
        <v>2028</v>
      </c>
      <c r="CX88" s="267">
        <f t="shared" si="87"/>
        <v>2028</v>
      </c>
      <c r="CY88" s="267">
        <f t="shared" si="87"/>
        <v>2028</v>
      </c>
      <c r="CZ88" s="267">
        <f t="shared" si="87"/>
        <v>2028</v>
      </c>
      <c r="DA88" s="267">
        <f t="shared" si="87"/>
        <v>2028</v>
      </c>
      <c r="DB88" s="267">
        <f t="shared" si="87"/>
        <v>2028</v>
      </c>
      <c r="DC88" s="267">
        <f t="shared" si="87"/>
        <v>2028</v>
      </c>
      <c r="DD88" s="267">
        <f t="shared" si="87"/>
        <v>2028</v>
      </c>
      <c r="DE88" s="267">
        <f t="shared" si="87"/>
        <v>2028</v>
      </c>
      <c r="DF88" s="267">
        <f t="shared" si="87"/>
        <v>2028</v>
      </c>
      <c r="DG88" s="267">
        <f t="shared" si="87"/>
        <v>2028</v>
      </c>
      <c r="DH88" s="267">
        <f>DG88+1</f>
        <v>2029</v>
      </c>
      <c r="DI88" s="267">
        <f t="shared" ref="DI88:DS88" si="88">DH88</f>
        <v>2029</v>
      </c>
      <c r="DJ88" s="267">
        <f t="shared" si="88"/>
        <v>2029</v>
      </c>
      <c r="DK88" s="267">
        <f t="shared" si="88"/>
        <v>2029</v>
      </c>
      <c r="DL88" s="267">
        <f t="shared" si="88"/>
        <v>2029</v>
      </c>
      <c r="DM88" s="267">
        <f t="shared" si="88"/>
        <v>2029</v>
      </c>
      <c r="DN88" s="267">
        <f t="shared" si="88"/>
        <v>2029</v>
      </c>
      <c r="DO88" s="267">
        <f t="shared" si="88"/>
        <v>2029</v>
      </c>
      <c r="DP88" s="267">
        <f t="shared" si="88"/>
        <v>2029</v>
      </c>
      <c r="DQ88" s="267">
        <f t="shared" si="88"/>
        <v>2029</v>
      </c>
      <c r="DR88" s="267">
        <f t="shared" si="88"/>
        <v>2029</v>
      </c>
      <c r="DS88" s="267">
        <f t="shared" si="88"/>
        <v>2029</v>
      </c>
      <c r="DT88" s="267">
        <f>DS88+1</f>
        <v>2030</v>
      </c>
      <c r="DU88" s="267">
        <f t="shared" ref="DU88:EE88" si="89">DT88</f>
        <v>2030</v>
      </c>
      <c r="DV88" s="267">
        <f t="shared" si="89"/>
        <v>2030</v>
      </c>
      <c r="DW88" s="267">
        <f t="shared" si="89"/>
        <v>2030</v>
      </c>
      <c r="DX88" s="267">
        <f t="shared" si="89"/>
        <v>2030</v>
      </c>
      <c r="DY88" s="267">
        <f t="shared" si="89"/>
        <v>2030</v>
      </c>
      <c r="DZ88" s="267">
        <f t="shared" si="89"/>
        <v>2030</v>
      </c>
      <c r="EA88" s="267">
        <f t="shared" si="89"/>
        <v>2030</v>
      </c>
      <c r="EB88" s="267">
        <f t="shared" si="89"/>
        <v>2030</v>
      </c>
      <c r="EC88" s="267">
        <f t="shared" si="89"/>
        <v>2030</v>
      </c>
      <c r="ED88" s="267">
        <f t="shared" si="89"/>
        <v>2030</v>
      </c>
      <c r="EE88" s="267">
        <f t="shared" si="89"/>
        <v>2030</v>
      </c>
      <c r="EF88" s="267">
        <f>EE88+1</f>
        <v>2031</v>
      </c>
      <c r="EG88" s="267">
        <f t="shared" ref="EG88:EQ88" si="90">EF88</f>
        <v>2031</v>
      </c>
      <c r="EH88" s="267">
        <f t="shared" si="90"/>
        <v>2031</v>
      </c>
      <c r="EI88" s="267">
        <f t="shared" si="90"/>
        <v>2031</v>
      </c>
      <c r="EJ88" s="267">
        <f t="shared" si="90"/>
        <v>2031</v>
      </c>
      <c r="EK88" s="267">
        <f t="shared" si="90"/>
        <v>2031</v>
      </c>
      <c r="EL88" s="267">
        <f t="shared" si="90"/>
        <v>2031</v>
      </c>
      <c r="EM88" s="267">
        <f t="shared" si="90"/>
        <v>2031</v>
      </c>
      <c r="EN88" s="267">
        <f t="shared" si="90"/>
        <v>2031</v>
      </c>
      <c r="EO88" s="267">
        <f t="shared" si="90"/>
        <v>2031</v>
      </c>
      <c r="EP88" s="267">
        <f t="shared" si="90"/>
        <v>2031</v>
      </c>
      <c r="EQ88" s="268">
        <f t="shared" si="90"/>
        <v>2031</v>
      </c>
    </row>
    <row r="89" spans="1:147" ht="15.75" x14ac:dyDescent="0.25">
      <c r="A89" s="381"/>
      <c r="B89" s="275"/>
      <c r="C89" s="384"/>
      <c r="D89" s="269">
        <f>DATE(D88,1,1)</f>
        <v>43831</v>
      </c>
      <c r="E89" s="270">
        <f>DATE(E88,2,1)</f>
        <v>43862</v>
      </c>
      <c r="F89" s="270">
        <f>DATE(F88,3,1)</f>
        <v>43891</v>
      </c>
      <c r="G89" s="270">
        <f>DATE(G88,4,1)</f>
        <v>43922</v>
      </c>
      <c r="H89" s="270">
        <f>DATE(H88,5,1)</f>
        <v>43952</v>
      </c>
      <c r="I89" s="270">
        <f>DATE(I88,6,1)</f>
        <v>43983</v>
      </c>
      <c r="J89" s="270">
        <f>DATE(J88,7,1)</f>
        <v>44013</v>
      </c>
      <c r="K89" s="270">
        <f>DATE(K88,8,1)</f>
        <v>44044</v>
      </c>
      <c r="L89" s="270">
        <f>DATE(L88,9,1)</f>
        <v>44075</v>
      </c>
      <c r="M89" s="270">
        <f>DATE(M88,10,1)</f>
        <v>44105</v>
      </c>
      <c r="N89" s="270">
        <f>DATE(N88,11,1)</f>
        <v>44136</v>
      </c>
      <c r="O89" s="270">
        <f>DATE(O88,12,1)</f>
        <v>44166</v>
      </c>
      <c r="P89" s="270">
        <f>DATE(P88,1,1)</f>
        <v>44197</v>
      </c>
      <c r="Q89" s="270">
        <f>DATE(Q88,2,1)</f>
        <v>44228</v>
      </c>
      <c r="R89" s="270">
        <f>DATE(R88,3,1)</f>
        <v>44256</v>
      </c>
      <c r="S89" s="270">
        <f>DATE(S88,4,1)</f>
        <v>44287</v>
      </c>
      <c r="T89" s="270">
        <f>DATE(T88,5,1)</f>
        <v>44317</v>
      </c>
      <c r="U89" s="270">
        <f>DATE(U88,6,1)</f>
        <v>44348</v>
      </c>
      <c r="V89" s="270">
        <f>DATE(V88,7,1)</f>
        <v>44378</v>
      </c>
      <c r="W89" s="270">
        <f>DATE(W88,8,1)</f>
        <v>44409</v>
      </c>
      <c r="X89" s="270">
        <f>DATE(X88,9,1)</f>
        <v>44440</v>
      </c>
      <c r="Y89" s="270">
        <f>DATE(Y88,10,1)</f>
        <v>44470</v>
      </c>
      <c r="Z89" s="270">
        <f>DATE(Z88,11,1)</f>
        <v>44501</v>
      </c>
      <c r="AA89" s="270">
        <f>DATE(AA88,12,1)</f>
        <v>44531</v>
      </c>
      <c r="AB89" s="270">
        <f>DATE(AB88,1,1)</f>
        <v>44562</v>
      </c>
      <c r="AC89" s="270">
        <f>DATE(AC88,2,1)</f>
        <v>44593</v>
      </c>
      <c r="AD89" s="270">
        <f>DATE(AD88,3,1)</f>
        <v>44621</v>
      </c>
      <c r="AE89" s="270">
        <f>DATE(AE88,4,1)</f>
        <v>44652</v>
      </c>
      <c r="AF89" s="270">
        <f>DATE(AF88,5,1)</f>
        <v>44682</v>
      </c>
      <c r="AG89" s="270">
        <f>DATE(AG88,6,1)</f>
        <v>44713</v>
      </c>
      <c r="AH89" s="270">
        <f>DATE(AH88,7,1)</f>
        <v>44743</v>
      </c>
      <c r="AI89" s="270">
        <f>DATE(AI88,8,1)</f>
        <v>44774</v>
      </c>
      <c r="AJ89" s="270">
        <f>DATE(AJ88,9,1)</f>
        <v>44805</v>
      </c>
      <c r="AK89" s="270">
        <f>DATE(AK88,10,1)</f>
        <v>44835</v>
      </c>
      <c r="AL89" s="270">
        <f>DATE(AL88,11,1)</f>
        <v>44866</v>
      </c>
      <c r="AM89" s="270">
        <f>DATE(AM88,12,1)</f>
        <v>44896</v>
      </c>
      <c r="AN89" s="270">
        <f>DATE(AN88,1,1)</f>
        <v>44927</v>
      </c>
      <c r="AO89" s="270">
        <f>DATE(AO88,2,1)</f>
        <v>44958</v>
      </c>
      <c r="AP89" s="270">
        <f>DATE(AP88,3,1)</f>
        <v>44986</v>
      </c>
      <c r="AQ89" s="270">
        <f>DATE(AQ88,4,1)</f>
        <v>45017</v>
      </c>
      <c r="AR89" s="270">
        <f>DATE(AR88,5,1)</f>
        <v>45047</v>
      </c>
      <c r="AS89" s="270">
        <f>DATE(AS88,6,1)</f>
        <v>45078</v>
      </c>
      <c r="AT89" s="270">
        <f>DATE(AT88,7,1)</f>
        <v>45108</v>
      </c>
      <c r="AU89" s="270">
        <f>DATE(AU88,8,1)</f>
        <v>45139</v>
      </c>
      <c r="AV89" s="270">
        <f>DATE(AV88,9,1)</f>
        <v>45170</v>
      </c>
      <c r="AW89" s="270">
        <f>DATE(AW88,10,1)</f>
        <v>45200</v>
      </c>
      <c r="AX89" s="270">
        <f>DATE(AX88,11,1)</f>
        <v>45231</v>
      </c>
      <c r="AY89" s="270">
        <f>DATE(AY88,12,1)</f>
        <v>45261</v>
      </c>
      <c r="AZ89" s="270">
        <f>DATE(AZ88,1,1)</f>
        <v>45292</v>
      </c>
      <c r="BA89" s="270">
        <f>DATE(BA88,2,1)</f>
        <v>45323</v>
      </c>
      <c r="BB89" s="270">
        <f>DATE(BB88,3,1)</f>
        <v>45352</v>
      </c>
      <c r="BC89" s="270">
        <f>DATE(BC88,4,1)</f>
        <v>45383</v>
      </c>
      <c r="BD89" s="270">
        <f>DATE(BD88,5,1)</f>
        <v>45413</v>
      </c>
      <c r="BE89" s="270">
        <f>DATE(BE88,6,1)</f>
        <v>45444</v>
      </c>
      <c r="BF89" s="270">
        <f>DATE(BF88,7,1)</f>
        <v>45474</v>
      </c>
      <c r="BG89" s="270">
        <f>DATE(BG88,8,1)</f>
        <v>45505</v>
      </c>
      <c r="BH89" s="270">
        <f>DATE(BH88,9,1)</f>
        <v>45536</v>
      </c>
      <c r="BI89" s="270">
        <f>DATE(BI88,10,1)</f>
        <v>45566</v>
      </c>
      <c r="BJ89" s="270">
        <f>DATE(BJ88,11,1)</f>
        <v>45597</v>
      </c>
      <c r="BK89" s="270">
        <f>DATE(BK88,12,1)</f>
        <v>45627</v>
      </c>
      <c r="BL89" s="270">
        <f>DATE(BL88,1,1)</f>
        <v>45658</v>
      </c>
      <c r="BM89" s="270">
        <f>DATE(BM88,2,1)</f>
        <v>45689</v>
      </c>
      <c r="BN89" s="270">
        <f>DATE(BN88,3,1)</f>
        <v>45717</v>
      </c>
      <c r="BO89" s="270">
        <f>DATE(BO88,4,1)</f>
        <v>45748</v>
      </c>
      <c r="BP89" s="270">
        <f>DATE(BP88,5,1)</f>
        <v>45778</v>
      </c>
      <c r="BQ89" s="270">
        <f>DATE(BQ88,6,1)</f>
        <v>45809</v>
      </c>
      <c r="BR89" s="270">
        <f>DATE(BR88,7,1)</f>
        <v>45839</v>
      </c>
      <c r="BS89" s="270">
        <f>DATE(BS88,8,1)</f>
        <v>45870</v>
      </c>
      <c r="BT89" s="270">
        <f>DATE(BT88,9,1)</f>
        <v>45901</v>
      </c>
      <c r="BU89" s="270">
        <f>DATE(BU88,10,1)</f>
        <v>45931</v>
      </c>
      <c r="BV89" s="270">
        <f>DATE(BV88,11,1)</f>
        <v>45962</v>
      </c>
      <c r="BW89" s="270">
        <f>DATE(BW88,12,1)</f>
        <v>45992</v>
      </c>
      <c r="BX89" s="270">
        <f>DATE(BX88,1,1)</f>
        <v>46023</v>
      </c>
      <c r="BY89" s="270">
        <f>DATE(BY88,2,1)</f>
        <v>46054</v>
      </c>
      <c r="BZ89" s="270">
        <f>DATE(BZ88,3,1)</f>
        <v>46082</v>
      </c>
      <c r="CA89" s="270">
        <f>DATE(CA88,4,1)</f>
        <v>46113</v>
      </c>
      <c r="CB89" s="270">
        <f>DATE(CB88,5,1)</f>
        <v>46143</v>
      </c>
      <c r="CC89" s="270">
        <f>DATE(CC88,6,1)</f>
        <v>46174</v>
      </c>
      <c r="CD89" s="270">
        <f>DATE(CD88,7,1)</f>
        <v>46204</v>
      </c>
      <c r="CE89" s="270">
        <f>DATE(CE88,8,1)</f>
        <v>46235</v>
      </c>
      <c r="CF89" s="270">
        <f>DATE(CF88,9,1)</f>
        <v>46266</v>
      </c>
      <c r="CG89" s="270">
        <f>DATE(CG88,10,1)</f>
        <v>46296</v>
      </c>
      <c r="CH89" s="270">
        <f>DATE(CH88,11,1)</f>
        <v>46327</v>
      </c>
      <c r="CI89" s="270">
        <f>DATE(CI88,12,1)</f>
        <v>46357</v>
      </c>
      <c r="CJ89" s="270">
        <f>DATE(CJ88,1,1)</f>
        <v>46388</v>
      </c>
      <c r="CK89" s="270">
        <f>DATE(CK88,2,1)</f>
        <v>46419</v>
      </c>
      <c r="CL89" s="270">
        <f>DATE(CL88,3,1)</f>
        <v>46447</v>
      </c>
      <c r="CM89" s="270">
        <f>DATE(CM88,4,1)</f>
        <v>46478</v>
      </c>
      <c r="CN89" s="270">
        <f>DATE(CN88,5,1)</f>
        <v>46508</v>
      </c>
      <c r="CO89" s="270">
        <f>DATE(CO88,6,1)</f>
        <v>46539</v>
      </c>
      <c r="CP89" s="270">
        <f>DATE(CP88,7,1)</f>
        <v>46569</v>
      </c>
      <c r="CQ89" s="270">
        <f>DATE(CQ88,8,1)</f>
        <v>46600</v>
      </c>
      <c r="CR89" s="270">
        <f>DATE(CR88,9,1)</f>
        <v>46631</v>
      </c>
      <c r="CS89" s="270">
        <f>DATE(CS88,10,1)</f>
        <v>46661</v>
      </c>
      <c r="CT89" s="270">
        <f>DATE(CT88,11,1)</f>
        <v>46692</v>
      </c>
      <c r="CU89" s="270">
        <f>DATE(CU88,12,1)</f>
        <v>46722</v>
      </c>
      <c r="CV89" s="270">
        <f>DATE(CV88,1,1)</f>
        <v>46753</v>
      </c>
      <c r="CW89" s="270">
        <f>DATE(CW88,2,1)</f>
        <v>46784</v>
      </c>
      <c r="CX89" s="270">
        <f>DATE(CX88,3,1)</f>
        <v>46813</v>
      </c>
      <c r="CY89" s="270">
        <f>DATE(CY88,4,1)</f>
        <v>46844</v>
      </c>
      <c r="CZ89" s="270">
        <f>DATE(CZ88,5,1)</f>
        <v>46874</v>
      </c>
      <c r="DA89" s="270">
        <f>DATE(DA88,6,1)</f>
        <v>46905</v>
      </c>
      <c r="DB89" s="270">
        <f>DATE(DB88,7,1)</f>
        <v>46935</v>
      </c>
      <c r="DC89" s="270">
        <f>DATE(DC88,8,1)</f>
        <v>46966</v>
      </c>
      <c r="DD89" s="270">
        <f>DATE(DD88,9,1)</f>
        <v>46997</v>
      </c>
      <c r="DE89" s="270">
        <f>DATE(DE88,10,1)</f>
        <v>47027</v>
      </c>
      <c r="DF89" s="270">
        <f>DATE(DF88,11,1)</f>
        <v>47058</v>
      </c>
      <c r="DG89" s="270">
        <f>DATE(DG88,12,1)</f>
        <v>47088</v>
      </c>
      <c r="DH89" s="270">
        <f>DATE(DH88,1,1)</f>
        <v>47119</v>
      </c>
      <c r="DI89" s="270">
        <f>DATE(DI88,2,1)</f>
        <v>47150</v>
      </c>
      <c r="DJ89" s="270">
        <f>DATE(DJ88,3,1)</f>
        <v>47178</v>
      </c>
      <c r="DK89" s="270">
        <f>DATE(DK88,4,1)</f>
        <v>47209</v>
      </c>
      <c r="DL89" s="270">
        <f>DATE(DL88,5,1)</f>
        <v>47239</v>
      </c>
      <c r="DM89" s="270">
        <f>DATE(DM88,6,1)</f>
        <v>47270</v>
      </c>
      <c r="DN89" s="270">
        <f>DATE(DN88,7,1)</f>
        <v>47300</v>
      </c>
      <c r="DO89" s="270">
        <f>DATE(DO88,8,1)</f>
        <v>47331</v>
      </c>
      <c r="DP89" s="270">
        <f>DATE(DP88,9,1)</f>
        <v>47362</v>
      </c>
      <c r="DQ89" s="270">
        <f>DATE(DQ88,10,1)</f>
        <v>47392</v>
      </c>
      <c r="DR89" s="270">
        <f>DATE(DR88,11,1)</f>
        <v>47423</v>
      </c>
      <c r="DS89" s="270">
        <f>DATE(DS88,12,1)</f>
        <v>47453</v>
      </c>
      <c r="DT89" s="270">
        <f>DATE(DT88,1,1)</f>
        <v>47484</v>
      </c>
      <c r="DU89" s="270">
        <f>DATE(DU88,2,1)</f>
        <v>47515</v>
      </c>
      <c r="DV89" s="270">
        <f>DATE(DV88,3,1)</f>
        <v>47543</v>
      </c>
      <c r="DW89" s="270">
        <f>DATE(DW88,4,1)</f>
        <v>47574</v>
      </c>
      <c r="DX89" s="270">
        <f>DATE(DX88,5,1)</f>
        <v>47604</v>
      </c>
      <c r="DY89" s="270">
        <f>DATE(DY88,6,1)</f>
        <v>47635</v>
      </c>
      <c r="DZ89" s="270">
        <f>DATE(DZ88,7,1)</f>
        <v>47665</v>
      </c>
      <c r="EA89" s="270">
        <f>DATE(EA88,8,1)</f>
        <v>47696</v>
      </c>
      <c r="EB89" s="270">
        <f>DATE(EB88,9,1)</f>
        <v>47727</v>
      </c>
      <c r="EC89" s="270">
        <f>DATE(EC88,10,1)</f>
        <v>47757</v>
      </c>
      <c r="ED89" s="270">
        <f>DATE(ED88,11,1)</f>
        <v>47788</v>
      </c>
      <c r="EE89" s="270">
        <f>DATE(EE88,12,1)</f>
        <v>47818</v>
      </c>
      <c r="EF89" s="270">
        <f>DATE(EF88,1,1)</f>
        <v>47849</v>
      </c>
      <c r="EG89" s="270">
        <f>DATE(EG88,2,1)</f>
        <v>47880</v>
      </c>
      <c r="EH89" s="270">
        <f>DATE(EH88,3,1)</f>
        <v>47908</v>
      </c>
      <c r="EI89" s="270">
        <f>DATE(EI88,4,1)</f>
        <v>47939</v>
      </c>
      <c r="EJ89" s="270">
        <f>DATE(EJ88,5,1)</f>
        <v>47969</v>
      </c>
      <c r="EK89" s="270">
        <f>DATE(EK88,6,1)</f>
        <v>48000</v>
      </c>
      <c r="EL89" s="270">
        <f>DATE(EL88,7,1)</f>
        <v>48030</v>
      </c>
      <c r="EM89" s="270">
        <f>DATE(EM88,8,1)</f>
        <v>48061</v>
      </c>
      <c r="EN89" s="270">
        <f>DATE(EN88,9,1)</f>
        <v>48092</v>
      </c>
      <c r="EO89" s="270">
        <f>DATE(EO88,10,1)</f>
        <v>48122</v>
      </c>
      <c r="EP89" s="270">
        <f>DATE(EP88,11,1)</f>
        <v>48153</v>
      </c>
      <c r="EQ89" s="271">
        <f>DATE(EQ88,12,1)</f>
        <v>48183</v>
      </c>
    </row>
    <row r="90" spans="1:147" ht="15.75" x14ac:dyDescent="0.25">
      <c r="A90" s="382"/>
      <c r="B90" s="276"/>
      <c r="C90" s="385"/>
      <c r="D90" s="272">
        <f>DATE(D88,1,31)</f>
        <v>43861</v>
      </c>
      <c r="E90" s="272">
        <f>DATE(E88,2,29)</f>
        <v>43890</v>
      </c>
      <c r="F90" s="272">
        <f>DATE(F88,3,31)</f>
        <v>43921</v>
      </c>
      <c r="G90" s="272">
        <f>DATE(G88,4,30)</f>
        <v>43951</v>
      </c>
      <c r="H90" s="272">
        <f>DATE(H88,5,31)</f>
        <v>43982</v>
      </c>
      <c r="I90" s="272">
        <f>DATE(I88,6,30)</f>
        <v>44012</v>
      </c>
      <c r="J90" s="272">
        <f>DATE(J88,7,31)</f>
        <v>44043</v>
      </c>
      <c r="K90" s="272">
        <f>DATE(K88,8,31)</f>
        <v>44074</v>
      </c>
      <c r="L90" s="272">
        <f>DATE(L88,9,30)</f>
        <v>44104</v>
      </c>
      <c r="M90" s="272">
        <f>DATE(M88,10,31)</f>
        <v>44135</v>
      </c>
      <c r="N90" s="272">
        <f>DATE(N88,11,30)</f>
        <v>44165</v>
      </c>
      <c r="O90" s="272">
        <f>DATE(O88,12,31)</f>
        <v>44196</v>
      </c>
      <c r="P90" s="272">
        <f>DATE(P88,1,31)</f>
        <v>44227</v>
      </c>
      <c r="Q90" s="272">
        <f>DATE(Q88,2,28)</f>
        <v>44255</v>
      </c>
      <c r="R90" s="272">
        <f>DATE(R88,3,31)</f>
        <v>44286</v>
      </c>
      <c r="S90" s="272">
        <f>DATE(S88,4,30)</f>
        <v>44316</v>
      </c>
      <c r="T90" s="272">
        <f>DATE(T88,5,31)</f>
        <v>44347</v>
      </c>
      <c r="U90" s="272">
        <f>DATE(U88,6,30)</f>
        <v>44377</v>
      </c>
      <c r="V90" s="272">
        <f>DATE(V88,7,31)</f>
        <v>44408</v>
      </c>
      <c r="W90" s="272">
        <f>DATE(W88,8,31)</f>
        <v>44439</v>
      </c>
      <c r="X90" s="272">
        <f>DATE(X88,9,30)</f>
        <v>44469</v>
      </c>
      <c r="Y90" s="272">
        <f>DATE(Y88,10,31)</f>
        <v>44500</v>
      </c>
      <c r="Z90" s="272">
        <f>DATE(Z88,11,30)</f>
        <v>44530</v>
      </c>
      <c r="AA90" s="272">
        <f>DATE(AA88,12,31)</f>
        <v>44561</v>
      </c>
      <c r="AB90" s="272">
        <f>DATE(AB88,1,31)</f>
        <v>44592</v>
      </c>
      <c r="AC90" s="272">
        <f>DATE(AC88,2,28)</f>
        <v>44620</v>
      </c>
      <c r="AD90" s="272">
        <f>DATE(AD88,3,31)</f>
        <v>44651</v>
      </c>
      <c r="AE90" s="272">
        <f>DATE(AE88,4,30)</f>
        <v>44681</v>
      </c>
      <c r="AF90" s="272">
        <f>DATE(AF88,5,31)</f>
        <v>44712</v>
      </c>
      <c r="AG90" s="272">
        <f>DATE(AG88,6,30)</f>
        <v>44742</v>
      </c>
      <c r="AH90" s="272">
        <f>DATE(AH88,7,31)</f>
        <v>44773</v>
      </c>
      <c r="AI90" s="272">
        <f>DATE(AI88,8,31)</f>
        <v>44804</v>
      </c>
      <c r="AJ90" s="272">
        <f>DATE(AJ88,9,30)</f>
        <v>44834</v>
      </c>
      <c r="AK90" s="272">
        <f>DATE(AK88,10,31)</f>
        <v>44865</v>
      </c>
      <c r="AL90" s="272">
        <f>DATE(AL88,11,30)</f>
        <v>44895</v>
      </c>
      <c r="AM90" s="272">
        <f>DATE(AM88,12,31)</f>
        <v>44926</v>
      </c>
      <c r="AN90" s="272">
        <f>DATE(AN88,1,31)</f>
        <v>44957</v>
      </c>
      <c r="AO90" s="272">
        <f>DATE(AO88,2,28)</f>
        <v>44985</v>
      </c>
      <c r="AP90" s="272">
        <f>DATE(AP88,3,31)</f>
        <v>45016</v>
      </c>
      <c r="AQ90" s="272">
        <f>DATE(AQ88,4,30)</f>
        <v>45046</v>
      </c>
      <c r="AR90" s="272">
        <f>DATE(AR88,5,31)</f>
        <v>45077</v>
      </c>
      <c r="AS90" s="272">
        <f>DATE(AS88,6,30)</f>
        <v>45107</v>
      </c>
      <c r="AT90" s="272">
        <f>DATE(AT88,7,31)</f>
        <v>45138</v>
      </c>
      <c r="AU90" s="272">
        <f>DATE(AU88,8,31)</f>
        <v>45169</v>
      </c>
      <c r="AV90" s="272">
        <f>DATE(AV88,9,30)</f>
        <v>45199</v>
      </c>
      <c r="AW90" s="272">
        <f>DATE(AW88,10,31)</f>
        <v>45230</v>
      </c>
      <c r="AX90" s="272">
        <f>DATE(AX88,11,30)</f>
        <v>45260</v>
      </c>
      <c r="AY90" s="272">
        <f>DATE(AY88,12,31)</f>
        <v>45291</v>
      </c>
      <c r="AZ90" s="272">
        <f>DATE(AZ88,1,31)</f>
        <v>45322</v>
      </c>
      <c r="BA90" s="272">
        <f>DATE(BA88,2,29)</f>
        <v>45351</v>
      </c>
      <c r="BB90" s="272">
        <f>DATE(BB88,3,31)</f>
        <v>45382</v>
      </c>
      <c r="BC90" s="272">
        <f>DATE(BC88,4,30)</f>
        <v>45412</v>
      </c>
      <c r="BD90" s="272">
        <f>DATE(BD88,5,31)</f>
        <v>45443</v>
      </c>
      <c r="BE90" s="272">
        <f>DATE(BE88,6,30)</f>
        <v>45473</v>
      </c>
      <c r="BF90" s="272">
        <f>DATE(BF88,7,31)</f>
        <v>45504</v>
      </c>
      <c r="BG90" s="272">
        <f>DATE(BG88,8,31)</f>
        <v>45535</v>
      </c>
      <c r="BH90" s="272">
        <f>DATE(BH88,9,30)</f>
        <v>45565</v>
      </c>
      <c r="BI90" s="272">
        <f>DATE(BI88,10,31)</f>
        <v>45596</v>
      </c>
      <c r="BJ90" s="272">
        <f>DATE(BJ88,11,30)</f>
        <v>45626</v>
      </c>
      <c r="BK90" s="272">
        <f>DATE(BK88,12,31)</f>
        <v>45657</v>
      </c>
      <c r="BL90" s="272">
        <f>DATE(BL88,1,31)</f>
        <v>45688</v>
      </c>
      <c r="BM90" s="272">
        <f>DATE(BM88,2,28)</f>
        <v>45716</v>
      </c>
      <c r="BN90" s="272">
        <f>DATE(BN88,3,31)</f>
        <v>45747</v>
      </c>
      <c r="BO90" s="272">
        <f>DATE(BO88,4,30)</f>
        <v>45777</v>
      </c>
      <c r="BP90" s="272">
        <f>DATE(BP88,5,31)</f>
        <v>45808</v>
      </c>
      <c r="BQ90" s="272">
        <f>DATE(BQ88,6,30)</f>
        <v>45838</v>
      </c>
      <c r="BR90" s="272">
        <f>DATE(BR88,7,31)</f>
        <v>45869</v>
      </c>
      <c r="BS90" s="272">
        <f>DATE(BS88,8,31)</f>
        <v>45900</v>
      </c>
      <c r="BT90" s="272">
        <f>DATE(BT88,9,30)</f>
        <v>45930</v>
      </c>
      <c r="BU90" s="272">
        <f>DATE(BU88,10,31)</f>
        <v>45961</v>
      </c>
      <c r="BV90" s="272">
        <f>DATE(BV88,11,30)</f>
        <v>45991</v>
      </c>
      <c r="BW90" s="272">
        <f>DATE(BW88,12,31)</f>
        <v>46022</v>
      </c>
      <c r="BX90" s="272">
        <f>DATE(BX88,1,31)</f>
        <v>46053</v>
      </c>
      <c r="BY90" s="272">
        <f>DATE(BY88,2,28)</f>
        <v>46081</v>
      </c>
      <c r="BZ90" s="272">
        <f>DATE(BZ88,3,31)</f>
        <v>46112</v>
      </c>
      <c r="CA90" s="272">
        <f>DATE(CA88,4,30)</f>
        <v>46142</v>
      </c>
      <c r="CB90" s="272">
        <f>DATE(CB88,5,31)</f>
        <v>46173</v>
      </c>
      <c r="CC90" s="272">
        <f>DATE(CC88,6,30)</f>
        <v>46203</v>
      </c>
      <c r="CD90" s="272">
        <f>DATE(CD88,7,31)</f>
        <v>46234</v>
      </c>
      <c r="CE90" s="272">
        <f>DATE(CE88,8,31)</f>
        <v>46265</v>
      </c>
      <c r="CF90" s="272">
        <f>DATE(CF88,9,30)</f>
        <v>46295</v>
      </c>
      <c r="CG90" s="272">
        <f>DATE(CG88,10,31)</f>
        <v>46326</v>
      </c>
      <c r="CH90" s="272">
        <f>DATE(CH88,11,30)</f>
        <v>46356</v>
      </c>
      <c r="CI90" s="272">
        <f>DATE(CI88,12,31)</f>
        <v>46387</v>
      </c>
      <c r="CJ90" s="272">
        <f>DATE(CJ88,1,31)</f>
        <v>46418</v>
      </c>
      <c r="CK90" s="272">
        <f>DATE(CK88,2,28)</f>
        <v>46446</v>
      </c>
      <c r="CL90" s="272">
        <f>DATE(CL88,3,31)</f>
        <v>46477</v>
      </c>
      <c r="CM90" s="272">
        <f>DATE(CM88,4,30)</f>
        <v>46507</v>
      </c>
      <c r="CN90" s="272">
        <f>DATE(CN88,5,31)</f>
        <v>46538</v>
      </c>
      <c r="CO90" s="272">
        <f>DATE(CO88,6,30)</f>
        <v>46568</v>
      </c>
      <c r="CP90" s="272">
        <f>DATE(CP88,7,31)</f>
        <v>46599</v>
      </c>
      <c r="CQ90" s="272">
        <f>DATE(CQ88,8,31)</f>
        <v>46630</v>
      </c>
      <c r="CR90" s="272">
        <f>DATE(CR88,9,30)</f>
        <v>46660</v>
      </c>
      <c r="CS90" s="272">
        <f>DATE(CS88,10,31)</f>
        <v>46691</v>
      </c>
      <c r="CT90" s="272">
        <f>DATE(CT88,11,30)</f>
        <v>46721</v>
      </c>
      <c r="CU90" s="272">
        <f>DATE(CU88,12,31)</f>
        <v>46752</v>
      </c>
      <c r="CV90" s="272">
        <f>DATE(CV88,1,31)</f>
        <v>46783</v>
      </c>
      <c r="CW90" s="272">
        <f>DATE(CW88,2,29)</f>
        <v>46812</v>
      </c>
      <c r="CX90" s="272">
        <f>DATE(CX88,3,31)</f>
        <v>46843</v>
      </c>
      <c r="CY90" s="272">
        <f>DATE(CY88,4,30)</f>
        <v>46873</v>
      </c>
      <c r="CZ90" s="272">
        <f>DATE(CZ88,5,31)</f>
        <v>46904</v>
      </c>
      <c r="DA90" s="272">
        <f>DATE(DA88,6,30)</f>
        <v>46934</v>
      </c>
      <c r="DB90" s="272">
        <f>DATE(DB88,7,31)</f>
        <v>46965</v>
      </c>
      <c r="DC90" s="272">
        <f>DATE(DC88,8,31)</f>
        <v>46996</v>
      </c>
      <c r="DD90" s="272">
        <f>DATE(DD88,9,30)</f>
        <v>47026</v>
      </c>
      <c r="DE90" s="272">
        <f>DATE(DE88,10,31)</f>
        <v>47057</v>
      </c>
      <c r="DF90" s="272">
        <f>DATE(DF88,11,30)</f>
        <v>47087</v>
      </c>
      <c r="DG90" s="272">
        <f>DATE(DG88,12,31)</f>
        <v>47118</v>
      </c>
      <c r="DH90" s="272">
        <f>DATE(DH88,1,31)</f>
        <v>47149</v>
      </c>
      <c r="DI90" s="272">
        <f>DATE(DI88,2,28)</f>
        <v>47177</v>
      </c>
      <c r="DJ90" s="272">
        <f>DATE(DJ88,3,31)</f>
        <v>47208</v>
      </c>
      <c r="DK90" s="272">
        <f>DATE(DK88,4,30)</f>
        <v>47238</v>
      </c>
      <c r="DL90" s="272">
        <f>DATE(DL88,5,31)</f>
        <v>47269</v>
      </c>
      <c r="DM90" s="272">
        <f>DATE(DM88,6,30)</f>
        <v>47299</v>
      </c>
      <c r="DN90" s="272">
        <f>DATE(DN88,7,31)</f>
        <v>47330</v>
      </c>
      <c r="DO90" s="272">
        <f>DATE(DO88,8,31)</f>
        <v>47361</v>
      </c>
      <c r="DP90" s="272">
        <f>DATE(DP88,9,30)</f>
        <v>47391</v>
      </c>
      <c r="DQ90" s="272">
        <f>DATE(DQ88,10,31)</f>
        <v>47422</v>
      </c>
      <c r="DR90" s="272">
        <f>DATE(DR88,11,30)</f>
        <v>47452</v>
      </c>
      <c r="DS90" s="272">
        <f>DATE(DS88,12,31)</f>
        <v>47483</v>
      </c>
      <c r="DT90" s="272">
        <f>DATE(DT88,1,31)</f>
        <v>47514</v>
      </c>
      <c r="DU90" s="272">
        <f>DATE(DU88,2,28)</f>
        <v>47542</v>
      </c>
      <c r="DV90" s="272">
        <f>DATE(DV88,3,31)</f>
        <v>47573</v>
      </c>
      <c r="DW90" s="272">
        <f>DATE(DW88,4,30)</f>
        <v>47603</v>
      </c>
      <c r="DX90" s="272">
        <f>DATE(DX88,5,31)</f>
        <v>47634</v>
      </c>
      <c r="DY90" s="272">
        <f>DATE(DY88,6,30)</f>
        <v>47664</v>
      </c>
      <c r="DZ90" s="272">
        <f>DATE(DZ88,7,31)</f>
        <v>47695</v>
      </c>
      <c r="EA90" s="272">
        <f>DATE(EA88,8,31)</f>
        <v>47726</v>
      </c>
      <c r="EB90" s="272">
        <f>DATE(EB88,9,30)</f>
        <v>47756</v>
      </c>
      <c r="EC90" s="272">
        <f>DATE(EC88,10,31)</f>
        <v>47787</v>
      </c>
      <c r="ED90" s="272">
        <f>DATE(ED88,11,30)</f>
        <v>47817</v>
      </c>
      <c r="EE90" s="272">
        <f>DATE(EE88,12,31)</f>
        <v>47848</v>
      </c>
      <c r="EF90" s="272">
        <f>DATE(EF88,1,31)</f>
        <v>47879</v>
      </c>
      <c r="EG90" s="272">
        <f>DATE(EG88,2,28)</f>
        <v>47907</v>
      </c>
      <c r="EH90" s="272">
        <f>DATE(EH88,3,31)</f>
        <v>47938</v>
      </c>
      <c r="EI90" s="272">
        <f>DATE(EI88,4,30)</f>
        <v>47968</v>
      </c>
      <c r="EJ90" s="272">
        <f>DATE(EJ88,5,31)</f>
        <v>47999</v>
      </c>
      <c r="EK90" s="272">
        <f>DATE(EK88,6,30)</f>
        <v>48029</v>
      </c>
      <c r="EL90" s="272">
        <f>DATE(EL88,7,31)</f>
        <v>48060</v>
      </c>
      <c r="EM90" s="272">
        <f>DATE(EM88,8,31)</f>
        <v>48091</v>
      </c>
      <c r="EN90" s="272">
        <f>DATE(EN88,9,30)</f>
        <v>48121</v>
      </c>
      <c r="EO90" s="272">
        <f>DATE(EO88,10,31)</f>
        <v>48152</v>
      </c>
      <c r="EP90" s="272">
        <f>DATE(EP88,11,30)</f>
        <v>48182</v>
      </c>
      <c r="EQ90" s="273">
        <f>DATE(EQ88,12,31)</f>
        <v>48213</v>
      </c>
    </row>
    <row r="91" spans="1:147" x14ac:dyDescent="0.25">
      <c r="A91" s="218" t="s">
        <v>353</v>
      </c>
      <c r="B91" s="219"/>
      <c r="C91" s="221">
        <f>SUM(D91:EQ91)</f>
        <v>7307861.6854404546</v>
      </c>
      <c r="D91" s="221">
        <f t="shared" ref="D91:BA91" si="91">IF(AND(D87&gt;0,OR(J87&gt;1,J87=0),D90&gt;=DATE(YEAR($B$41)+1,MONTH($B$41),DAY($B$41))),PPMT($C84,D87,$C78,-$C76),0)</f>
        <v>0</v>
      </c>
      <c r="E91" s="221">
        <f t="shared" si="91"/>
        <v>0</v>
      </c>
      <c r="F91" s="221">
        <f t="shared" si="91"/>
        <v>0</v>
      </c>
      <c r="G91" s="221">
        <f t="shared" si="91"/>
        <v>0</v>
      </c>
      <c r="H91" s="221">
        <f t="shared" si="91"/>
        <v>0</v>
      </c>
      <c r="I91" s="221">
        <f t="shared" si="91"/>
        <v>0</v>
      </c>
      <c r="J91" s="221">
        <f t="shared" si="91"/>
        <v>0</v>
      </c>
      <c r="K91" s="221">
        <f t="shared" si="91"/>
        <v>0</v>
      </c>
      <c r="L91" s="221">
        <f t="shared" si="91"/>
        <v>0</v>
      </c>
      <c r="M91" s="221">
        <f t="shared" si="91"/>
        <v>0</v>
      </c>
      <c r="N91" s="221">
        <f t="shared" si="91"/>
        <v>0</v>
      </c>
      <c r="O91" s="221">
        <f t="shared" si="91"/>
        <v>0</v>
      </c>
      <c r="P91" s="221">
        <f t="shared" si="91"/>
        <v>0</v>
      </c>
      <c r="Q91" s="221">
        <f t="shared" si="91"/>
        <v>0</v>
      </c>
      <c r="R91" s="221">
        <f t="shared" si="91"/>
        <v>0</v>
      </c>
      <c r="S91" s="221">
        <f t="shared" si="91"/>
        <v>0</v>
      </c>
      <c r="T91" s="221">
        <f t="shared" si="91"/>
        <v>0</v>
      </c>
      <c r="U91" s="221">
        <f t="shared" si="91"/>
        <v>0</v>
      </c>
      <c r="V91" s="221">
        <f t="shared" si="91"/>
        <v>0</v>
      </c>
      <c r="W91" s="221">
        <f t="shared" si="91"/>
        <v>0</v>
      </c>
      <c r="X91" s="221">
        <f t="shared" si="91"/>
        <v>0</v>
      </c>
      <c r="Y91" s="221">
        <f t="shared" si="91"/>
        <v>0</v>
      </c>
      <c r="Z91" s="221">
        <f t="shared" si="91"/>
        <v>0</v>
      </c>
      <c r="AA91" s="221">
        <f t="shared" si="91"/>
        <v>0</v>
      </c>
      <c r="AB91" s="221">
        <f t="shared" si="91"/>
        <v>0</v>
      </c>
      <c r="AC91" s="221">
        <f t="shared" si="91"/>
        <v>0</v>
      </c>
      <c r="AD91" s="221">
        <f t="shared" si="91"/>
        <v>0</v>
      </c>
      <c r="AE91" s="221">
        <f t="shared" si="91"/>
        <v>0</v>
      </c>
      <c r="AF91" s="221">
        <f t="shared" si="91"/>
        <v>0</v>
      </c>
      <c r="AG91" s="221">
        <f t="shared" si="91"/>
        <v>0</v>
      </c>
      <c r="AH91" s="221">
        <f t="shared" si="91"/>
        <v>0</v>
      </c>
      <c r="AI91" s="221">
        <f t="shared" si="91"/>
        <v>0</v>
      </c>
      <c r="AJ91" s="221">
        <f t="shared" si="91"/>
        <v>0</v>
      </c>
      <c r="AK91" s="221">
        <f t="shared" si="91"/>
        <v>324180.95656292018</v>
      </c>
      <c r="AL91" s="221">
        <f t="shared" si="91"/>
        <v>0</v>
      </c>
      <c r="AM91" s="221">
        <f t="shared" si="91"/>
        <v>0</v>
      </c>
      <c r="AN91" s="221">
        <f t="shared" si="91"/>
        <v>0</v>
      </c>
      <c r="AO91" s="221">
        <f t="shared" si="91"/>
        <v>0</v>
      </c>
      <c r="AP91" s="221">
        <f t="shared" si="91"/>
        <v>0</v>
      </c>
      <c r="AQ91" s="221">
        <f t="shared" si="91"/>
        <v>338454.85508687043</v>
      </c>
      <c r="AR91" s="221">
        <f t="shared" si="91"/>
        <v>0</v>
      </c>
      <c r="AS91" s="221">
        <f t="shared" si="91"/>
        <v>0</v>
      </c>
      <c r="AT91" s="221">
        <f t="shared" si="91"/>
        <v>0</v>
      </c>
      <c r="AU91" s="221">
        <f t="shared" si="91"/>
        <v>0</v>
      </c>
      <c r="AV91" s="221">
        <f t="shared" si="91"/>
        <v>0</v>
      </c>
      <c r="AW91" s="221">
        <f t="shared" si="91"/>
        <v>353357.242653583</v>
      </c>
      <c r="AX91" s="221">
        <f t="shared" si="91"/>
        <v>0</v>
      </c>
      <c r="AY91" s="221">
        <f t="shared" si="91"/>
        <v>0</v>
      </c>
      <c r="AZ91" s="221">
        <f t="shared" si="91"/>
        <v>0</v>
      </c>
      <c r="BA91" s="221">
        <f t="shared" si="91"/>
        <v>0</v>
      </c>
      <c r="BB91" s="221">
        <f>IF(AND(BB87&gt;0,OR(BH87&gt;1,BH87=0),BB90&gt;=DATE(YEAR($B$41)+1,MONTH($B$41),DAY($B$41))),PPMT($C84,BB87,$C78,-$C76),0)</f>
        <v>0</v>
      </c>
      <c r="BC91" s="221">
        <f t="shared" ref="BC91:DN91" si="92">IF(AND(BC87&gt;0,OR(BI87&gt;1,BI87=0),BC90&gt;=DATE(YEAR($B$41)+1,MONTH($B$41),DAY($B$41))),PPMT($C84,BC87,$C78,-$C76),0)</f>
        <v>368915.79204468877</v>
      </c>
      <c r="BD91" s="221">
        <f t="shared" si="92"/>
        <v>0</v>
      </c>
      <c r="BE91" s="221">
        <f t="shared" si="92"/>
        <v>0</v>
      </c>
      <c r="BF91" s="221">
        <f t="shared" si="92"/>
        <v>0</v>
      </c>
      <c r="BG91" s="221">
        <f t="shared" si="92"/>
        <v>0</v>
      </c>
      <c r="BH91" s="221">
        <f t="shared" si="92"/>
        <v>0</v>
      </c>
      <c r="BI91" s="221">
        <f t="shared" si="92"/>
        <v>385159.39449240552</v>
      </c>
      <c r="BJ91" s="221">
        <f t="shared" si="92"/>
        <v>0</v>
      </c>
      <c r="BK91" s="221">
        <f t="shared" si="92"/>
        <v>0</v>
      </c>
      <c r="BL91" s="221">
        <f t="shared" si="92"/>
        <v>0</v>
      </c>
      <c r="BM91" s="221">
        <f t="shared" si="92"/>
        <v>0</v>
      </c>
      <c r="BN91" s="221">
        <f t="shared" si="92"/>
        <v>0</v>
      </c>
      <c r="BO91" s="221">
        <f t="shared" si="92"/>
        <v>402118.21332871076</v>
      </c>
      <c r="BP91" s="221">
        <f t="shared" si="92"/>
        <v>0</v>
      </c>
      <c r="BQ91" s="221">
        <f t="shared" si="92"/>
        <v>0</v>
      </c>
      <c r="BR91" s="221">
        <f t="shared" si="92"/>
        <v>0</v>
      </c>
      <c r="BS91" s="221">
        <f t="shared" si="92"/>
        <v>0</v>
      </c>
      <c r="BT91" s="221">
        <f t="shared" si="92"/>
        <v>0</v>
      </c>
      <c r="BU91" s="221">
        <f t="shared" si="92"/>
        <v>419823.73999672203</v>
      </c>
      <c r="BV91" s="221">
        <f t="shared" si="92"/>
        <v>0</v>
      </c>
      <c r="BW91" s="221">
        <f t="shared" si="92"/>
        <v>0</v>
      </c>
      <c r="BX91" s="221">
        <f t="shared" si="92"/>
        <v>0</v>
      </c>
      <c r="BY91" s="221">
        <f t="shared" si="92"/>
        <v>0</v>
      </c>
      <c r="BZ91" s="221">
        <f t="shared" si="92"/>
        <v>0</v>
      </c>
      <c r="CA91" s="221">
        <f t="shared" si="92"/>
        <v>438308.85252829478</v>
      </c>
      <c r="CB91" s="221">
        <f t="shared" si="92"/>
        <v>0</v>
      </c>
      <c r="CC91" s="221">
        <f t="shared" si="92"/>
        <v>0</v>
      </c>
      <c r="CD91" s="221">
        <f t="shared" si="92"/>
        <v>0</v>
      </c>
      <c r="CE91" s="221">
        <f t="shared" si="92"/>
        <v>0</v>
      </c>
      <c r="CF91" s="221">
        <f t="shared" si="92"/>
        <v>0</v>
      </c>
      <c r="CG91" s="221">
        <f t="shared" si="92"/>
        <v>457607.87659642706</v>
      </c>
      <c r="CH91" s="221">
        <f t="shared" si="92"/>
        <v>0</v>
      </c>
      <c r="CI91" s="221">
        <f t="shared" si="92"/>
        <v>0</v>
      </c>
      <c r="CJ91" s="221">
        <f t="shared" si="92"/>
        <v>0</v>
      </c>
      <c r="CK91" s="221">
        <f t="shared" si="92"/>
        <v>0</v>
      </c>
      <c r="CL91" s="221">
        <f t="shared" si="92"/>
        <v>0</v>
      </c>
      <c r="CM91" s="221">
        <f t="shared" si="92"/>
        <v>477756.64925584139</v>
      </c>
      <c r="CN91" s="221">
        <f t="shared" si="92"/>
        <v>0</v>
      </c>
      <c r="CO91" s="221">
        <f t="shared" si="92"/>
        <v>0</v>
      </c>
      <c r="CP91" s="221">
        <f t="shared" si="92"/>
        <v>0</v>
      </c>
      <c r="CQ91" s="221">
        <f t="shared" si="92"/>
        <v>0</v>
      </c>
      <c r="CR91" s="221">
        <f t="shared" si="92"/>
        <v>0</v>
      </c>
      <c r="CS91" s="221">
        <f t="shared" si="92"/>
        <v>498792.58549010556</v>
      </c>
      <c r="CT91" s="221">
        <f t="shared" si="92"/>
        <v>0</v>
      </c>
      <c r="CU91" s="221">
        <f t="shared" si="92"/>
        <v>0</v>
      </c>
      <c r="CV91" s="221">
        <f t="shared" si="92"/>
        <v>0</v>
      </c>
      <c r="CW91" s="221">
        <f t="shared" si="92"/>
        <v>0</v>
      </c>
      <c r="CX91" s="221">
        <f t="shared" si="92"/>
        <v>0</v>
      </c>
      <c r="CY91" s="221">
        <f t="shared" si="92"/>
        <v>520754.74768886715</v>
      </c>
      <c r="CZ91" s="221">
        <f t="shared" si="92"/>
        <v>0</v>
      </c>
      <c r="DA91" s="221">
        <f t="shared" si="92"/>
        <v>0</v>
      </c>
      <c r="DB91" s="221">
        <f t="shared" si="92"/>
        <v>0</v>
      </c>
      <c r="DC91" s="221">
        <f t="shared" si="92"/>
        <v>0</v>
      </c>
      <c r="DD91" s="221">
        <f t="shared" si="92"/>
        <v>0</v>
      </c>
      <c r="DE91" s="221">
        <f t="shared" si="92"/>
        <v>543683.91818421509</v>
      </c>
      <c r="DF91" s="221">
        <f t="shared" si="92"/>
        <v>0</v>
      </c>
      <c r="DG91" s="221">
        <f t="shared" si="92"/>
        <v>0</v>
      </c>
      <c r="DH91" s="221">
        <f t="shared" si="92"/>
        <v>0</v>
      </c>
      <c r="DI91" s="221">
        <f t="shared" si="92"/>
        <v>0</v>
      </c>
      <c r="DJ91" s="221">
        <f t="shared" si="92"/>
        <v>0</v>
      </c>
      <c r="DK91" s="221">
        <f t="shared" si="92"/>
        <v>567622.67498086521</v>
      </c>
      <c r="DL91" s="221">
        <f t="shared" si="92"/>
        <v>0</v>
      </c>
      <c r="DM91" s="221">
        <f t="shared" si="92"/>
        <v>0</v>
      </c>
      <c r="DN91" s="221">
        <f t="shared" si="92"/>
        <v>0</v>
      </c>
      <c r="DO91" s="221">
        <f t="shared" ref="DO91:EQ91" si="93">IF(AND(DO87&gt;0,OR(DU87&gt;1,DU87=0),DO90&gt;=DATE(YEAR($B$41)+1,MONTH($B$41),DAY($B$41))),PPMT($C84,DO87,$C78,-$C76),0)</f>
        <v>0</v>
      </c>
      <c r="DP91" s="221">
        <f t="shared" si="93"/>
        <v>0</v>
      </c>
      <c r="DQ91" s="221">
        <f t="shared" si="93"/>
        <v>592615.47082079458</v>
      </c>
      <c r="DR91" s="221">
        <f t="shared" si="93"/>
        <v>0</v>
      </c>
      <c r="DS91" s="221">
        <f t="shared" si="93"/>
        <v>0</v>
      </c>
      <c r="DT91" s="221">
        <f t="shared" si="93"/>
        <v>0</v>
      </c>
      <c r="DU91" s="221">
        <f t="shared" si="93"/>
        <v>0</v>
      </c>
      <c r="DV91" s="221">
        <f t="shared" si="93"/>
        <v>0</v>
      </c>
      <c r="DW91" s="221">
        <f t="shared" si="93"/>
        <v>618708.71572914312</v>
      </c>
      <c r="DX91" s="221">
        <f t="shared" si="93"/>
        <v>0</v>
      </c>
      <c r="DY91" s="221">
        <f t="shared" si="93"/>
        <v>0</v>
      </c>
      <c r="DZ91" s="221">
        <f t="shared" si="93"/>
        <v>0</v>
      </c>
      <c r="EA91" s="221">
        <f t="shared" si="93"/>
        <v>0</v>
      </c>
      <c r="EB91" s="221">
        <f t="shared" si="93"/>
        <v>0</v>
      </c>
      <c r="EC91" s="221">
        <f t="shared" si="93"/>
        <v>0</v>
      </c>
      <c r="ED91" s="221">
        <f t="shared" si="93"/>
        <v>0</v>
      </c>
      <c r="EE91" s="221">
        <f t="shared" si="93"/>
        <v>0</v>
      </c>
      <c r="EF91" s="221">
        <f t="shared" si="93"/>
        <v>0</v>
      </c>
      <c r="EG91" s="221">
        <f t="shared" si="93"/>
        <v>0</v>
      </c>
      <c r="EH91" s="221">
        <f t="shared" si="93"/>
        <v>0</v>
      </c>
      <c r="EI91" s="221">
        <f t="shared" si="93"/>
        <v>0</v>
      </c>
      <c r="EJ91" s="221">
        <f t="shared" si="93"/>
        <v>0</v>
      </c>
      <c r="EK91" s="221">
        <f t="shared" si="93"/>
        <v>0</v>
      </c>
      <c r="EL91" s="221">
        <f t="shared" si="93"/>
        <v>0</v>
      </c>
      <c r="EM91" s="221">
        <f t="shared" si="93"/>
        <v>0</v>
      </c>
      <c r="EN91" s="221">
        <f t="shared" si="93"/>
        <v>0</v>
      </c>
      <c r="EO91" s="221">
        <f t="shared" si="93"/>
        <v>0</v>
      </c>
      <c r="EP91" s="221">
        <f t="shared" si="93"/>
        <v>0</v>
      </c>
      <c r="EQ91" s="222">
        <f t="shared" si="93"/>
        <v>0</v>
      </c>
    </row>
    <row r="92" spans="1:147" x14ac:dyDescent="0.25">
      <c r="A92" s="226" t="s">
        <v>354</v>
      </c>
      <c r="B92" s="227"/>
      <c r="C92" s="228">
        <f>SUM(D92:EQ92)</f>
        <v>3027352.1256742035</v>
      </c>
      <c r="D92" s="228">
        <f t="shared" ref="D92" si="94">IF(D87&gt;0,IPMT($C84,D87,$C78,-$C76),0)</f>
        <v>0</v>
      </c>
      <c r="E92" s="228">
        <f t="shared" ref="E92:BP92" si="95">IF(AND(E87&gt;0,E89&gt;DATE(YEAR($B$41)+1,MONTH($B$41),DAY($B$41))),IPMT($C84,E87,$C78,-$C76),0)+IF(AND(E87&gt;0,E89&lt;DATE(YEAR($B$41)+1,MONTH($B$41),DAY($B$41))),$C76*$C82,0)</f>
        <v>0</v>
      </c>
      <c r="F92" s="228">
        <f t="shared" si="95"/>
        <v>0</v>
      </c>
      <c r="G92" s="228">
        <f t="shared" si="95"/>
        <v>0</v>
      </c>
      <c r="H92" s="228">
        <f t="shared" si="95"/>
        <v>0</v>
      </c>
      <c r="I92" s="228">
        <f t="shared" si="95"/>
        <v>0</v>
      </c>
      <c r="J92" s="228">
        <f t="shared" si="95"/>
        <v>0</v>
      </c>
      <c r="K92" s="228">
        <f t="shared" si="95"/>
        <v>0</v>
      </c>
      <c r="L92" s="228">
        <f t="shared" si="95"/>
        <v>0</v>
      </c>
      <c r="M92" s="228">
        <f t="shared" si="95"/>
        <v>0</v>
      </c>
      <c r="N92" s="228">
        <f t="shared" si="95"/>
        <v>0</v>
      </c>
      <c r="O92" s="228">
        <f t="shared" si="95"/>
        <v>0</v>
      </c>
      <c r="P92" s="228">
        <f t="shared" si="95"/>
        <v>0</v>
      </c>
      <c r="Q92" s="228">
        <f t="shared" si="95"/>
        <v>0</v>
      </c>
      <c r="R92" s="228">
        <f t="shared" si="95"/>
        <v>0</v>
      </c>
      <c r="S92" s="228">
        <f t="shared" si="95"/>
        <v>0</v>
      </c>
      <c r="T92" s="228">
        <f t="shared" si="95"/>
        <v>0</v>
      </c>
      <c r="U92" s="228">
        <f t="shared" si="95"/>
        <v>0</v>
      </c>
      <c r="V92" s="228">
        <f t="shared" si="95"/>
        <v>0</v>
      </c>
      <c r="W92" s="228">
        <f t="shared" si="95"/>
        <v>0</v>
      </c>
      <c r="X92" s="228">
        <f t="shared" si="95"/>
        <v>0</v>
      </c>
      <c r="Y92" s="228">
        <f t="shared" si="95"/>
        <v>0</v>
      </c>
      <c r="Z92" s="228">
        <f t="shared" si="95"/>
        <v>0</v>
      </c>
      <c r="AA92" s="228">
        <f t="shared" si="95"/>
        <v>0</v>
      </c>
      <c r="AB92" s="228">
        <f t="shared" si="95"/>
        <v>0</v>
      </c>
      <c r="AC92" s="228">
        <f t="shared" si="95"/>
        <v>0</v>
      </c>
      <c r="AD92" s="228">
        <f t="shared" si="95"/>
        <v>0</v>
      </c>
      <c r="AE92" s="228">
        <f t="shared" si="95"/>
        <v>0</v>
      </c>
      <c r="AF92" s="228">
        <f t="shared" si="95"/>
        <v>0</v>
      </c>
      <c r="AG92" s="228">
        <f t="shared" si="95"/>
        <v>0</v>
      </c>
      <c r="AH92" s="228">
        <f t="shared" si="95"/>
        <v>0</v>
      </c>
      <c r="AI92" s="228">
        <f t="shared" si="95"/>
        <v>0</v>
      </c>
      <c r="AJ92" s="228">
        <f t="shared" si="95"/>
        <v>0</v>
      </c>
      <c r="AK92" s="228">
        <f t="shared" si="95"/>
        <v>321769.90663174598</v>
      </c>
      <c r="AL92" s="228">
        <f t="shared" si="95"/>
        <v>0</v>
      </c>
      <c r="AM92" s="228">
        <f t="shared" si="95"/>
        <v>0</v>
      </c>
      <c r="AN92" s="228">
        <f t="shared" si="95"/>
        <v>0</v>
      </c>
      <c r="AO92" s="228">
        <f t="shared" si="95"/>
        <v>0</v>
      </c>
      <c r="AP92" s="228">
        <f t="shared" si="95"/>
        <v>0</v>
      </c>
      <c r="AQ92" s="228">
        <f t="shared" si="95"/>
        <v>307496.00810779567</v>
      </c>
      <c r="AR92" s="228">
        <f t="shared" si="95"/>
        <v>0</v>
      </c>
      <c r="AS92" s="228">
        <f t="shared" si="95"/>
        <v>0</v>
      </c>
      <c r="AT92" s="228">
        <f t="shared" si="95"/>
        <v>0</v>
      </c>
      <c r="AU92" s="228">
        <f t="shared" si="95"/>
        <v>0</v>
      </c>
      <c r="AV92" s="228">
        <f t="shared" si="95"/>
        <v>0</v>
      </c>
      <c r="AW92" s="228">
        <f t="shared" si="95"/>
        <v>292593.6205410831</v>
      </c>
      <c r="AX92" s="228">
        <f t="shared" si="95"/>
        <v>0</v>
      </c>
      <c r="AY92" s="228">
        <f t="shared" si="95"/>
        <v>0</v>
      </c>
      <c r="AZ92" s="228">
        <f t="shared" si="95"/>
        <v>0</v>
      </c>
      <c r="BA92" s="228">
        <f t="shared" si="95"/>
        <v>0</v>
      </c>
      <c r="BB92" s="228">
        <f t="shared" si="95"/>
        <v>0</v>
      </c>
      <c r="BC92" s="228">
        <f t="shared" si="95"/>
        <v>277035.07114997739</v>
      </c>
      <c r="BD92" s="228">
        <f t="shared" si="95"/>
        <v>0</v>
      </c>
      <c r="BE92" s="228">
        <f t="shared" si="95"/>
        <v>0</v>
      </c>
      <c r="BF92" s="228">
        <f t="shared" si="95"/>
        <v>0</v>
      </c>
      <c r="BG92" s="228">
        <f t="shared" si="95"/>
        <v>0</v>
      </c>
      <c r="BH92" s="228">
        <f t="shared" si="95"/>
        <v>0</v>
      </c>
      <c r="BI92" s="228">
        <f t="shared" si="95"/>
        <v>260791.46870226058</v>
      </c>
      <c r="BJ92" s="228">
        <f t="shared" si="95"/>
        <v>0</v>
      </c>
      <c r="BK92" s="228">
        <f t="shared" si="95"/>
        <v>0</v>
      </c>
      <c r="BL92" s="228">
        <f t="shared" si="95"/>
        <v>0</v>
      </c>
      <c r="BM92" s="228">
        <f t="shared" si="95"/>
        <v>0</v>
      </c>
      <c r="BN92" s="228">
        <f t="shared" si="95"/>
        <v>0</v>
      </c>
      <c r="BO92" s="228">
        <f t="shared" si="95"/>
        <v>243832.64986595529</v>
      </c>
      <c r="BP92" s="228">
        <f t="shared" si="95"/>
        <v>0</v>
      </c>
      <c r="BQ92" s="228">
        <f t="shared" ref="BQ92:BS92" si="96">IF(AND(BQ87&gt;0,BQ89&gt;DATE(YEAR($B$41)+1,MONTH($B$41),DAY($B$41))),IPMT($C84,BQ87,$C78,-$C76),0)+IF(AND(BQ87&gt;0,BQ89&lt;DATE(YEAR($B$41)+1,MONTH($B$41),DAY($B$41))),$C76*$C82,0)</f>
        <v>0</v>
      </c>
      <c r="BR92" s="228">
        <f t="shared" si="96"/>
        <v>0</v>
      </c>
      <c r="BS92" s="228">
        <f t="shared" si="96"/>
        <v>0</v>
      </c>
      <c r="BT92" s="228">
        <f>IF(AND(BT87&gt;0,BT89&gt;DATE(YEAR($B$41)+1,MONTH($B$41),DAY($B$41))),IPMT($C84,BT87,$C78,-$C76),0)+IF(AND(BT87&gt;0,BT89&lt;DATE(YEAR($B$41)+1,MONTH($B$41),DAY($B$41))),$C76*$C82,0)</f>
        <v>0</v>
      </c>
      <c r="BU92" s="228">
        <f t="shared" ref="BU92:EF92" si="97">IF(AND(BU87&gt;0,BU89&gt;DATE(YEAR($B$41)+1,MONTH($B$41),DAY($B$41))),IPMT($C84,BU87,$C78,-$C76),0)+IF(AND(BU87&gt;0,BU89&lt;DATE(YEAR($B$41)+1,MONTH($B$41),DAY($B$41))),$C76*$C82,0)</f>
        <v>226127.12319794405</v>
      </c>
      <c r="BV92" s="228">
        <f t="shared" si="97"/>
        <v>0</v>
      </c>
      <c r="BW92" s="228">
        <f t="shared" si="97"/>
        <v>0</v>
      </c>
      <c r="BX92" s="228">
        <f t="shared" si="97"/>
        <v>0</v>
      </c>
      <c r="BY92" s="228">
        <f t="shared" si="97"/>
        <v>0</v>
      </c>
      <c r="BZ92" s="228">
        <f t="shared" si="97"/>
        <v>0</v>
      </c>
      <c r="CA92" s="228">
        <f t="shared" si="97"/>
        <v>207642.01066637132</v>
      </c>
      <c r="CB92" s="228">
        <f t="shared" si="97"/>
        <v>0</v>
      </c>
      <c r="CC92" s="228">
        <f t="shared" si="97"/>
        <v>0</v>
      </c>
      <c r="CD92" s="228">
        <f t="shared" si="97"/>
        <v>0</v>
      </c>
      <c r="CE92" s="228">
        <f t="shared" si="97"/>
        <v>0</v>
      </c>
      <c r="CF92" s="228">
        <f t="shared" si="97"/>
        <v>0</v>
      </c>
      <c r="CG92" s="228">
        <f t="shared" si="97"/>
        <v>188342.98659823902</v>
      </c>
      <c r="CH92" s="228">
        <f t="shared" si="97"/>
        <v>0</v>
      </c>
      <c r="CI92" s="228">
        <f t="shared" si="97"/>
        <v>0</v>
      </c>
      <c r="CJ92" s="228">
        <f t="shared" si="97"/>
        <v>0</v>
      </c>
      <c r="CK92" s="228">
        <f t="shared" si="97"/>
        <v>0</v>
      </c>
      <c r="CL92" s="228">
        <f t="shared" si="97"/>
        <v>0</v>
      </c>
      <c r="CM92" s="228">
        <f t="shared" si="97"/>
        <v>168194.21393882475</v>
      </c>
      <c r="CN92" s="228">
        <f t="shared" si="97"/>
        <v>0</v>
      </c>
      <c r="CO92" s="228">
        <f t="shared" si="97"/>
        <v>0</v>
      </c>
      <c r="CP92" s="228">
        <f t="shared" si="97"/>
        <v>0</v>
      </c>
      <c r="CQ92" s="228">
        <f t="shared" si="97"/>
        <v>0</v>
      </c>
      <c r="CR92" s="228">
        <f t="shared" si="97"/>
        <v>0</v>
      </c>
      <c r="CS92" s="228">
        <f t="shared" si="97"/>
        <v>147158.27770456055</v>
      </c>
      <c r="CT92" s="228">
        <f t="shared" si="97"/>
        <v>0</v>
      </c>
      <c r="CU92" s="228">
        <f t="shared" si="97"/>
        <v>0</v>
      </c>
      <c r="CV92" s="228">
        <f t="shared" si="97"/>
        <v>0</v>
      </c>
      <c r="CW92" s="228">
        <f t="shared" si="97"/>
        <v>0</v>
      </c>
      <c r="CX92" s="228">
        <f t="shared" si="97"/>
        <v>0</v>
      </c>
      <c r="CY92" s="228">
        <f t="shared" si="97"/>
        <v>125196.11550579895</v>
      </c>
      <c r="CZ92" s="228">
        <f t="shared" si="97"/>
        <v>0</v>
      </c>
      <c r="DA92" s="228">
        <f t="shared" si="97"/>
        <v>0</v>
      </c>
      <c r="DB92" s="228">
        <f t="shared" si="97"/>
        <v>0</v>
      </c>
      <c r="DC92" s="228">
        <f t="shared" si="97"/>
        <v>0</v>
      </c>
      <c r="DD92" s="228">
        <f t="shared" si="97"/>
        <v>0</v>
      </c>
      <c r="DE92" s="228">
        <f t="shared" si="97"/>
        <v>102266.94501045097</v>
      </c>
      <c r="DF92" s="228">
        <f t="shared" si="97"/>
        <v>0</v>
      </c>
      <c r="DG92" s="228">
        <f t="shared" si="97"/>
        <v>0</v>
      </c>
      <c r="DH92" s="228">
        <f t="shared" si="97"/>
        <v>0</v>
      </c>
      <c r="DI92" s="228">
        <f t="shared" si="97"/>
        <v>0</v>
      </c>
      <c r="DJ92" s="228">
        <f t="shared" si="97"/>
        <v>0</v>
      </c>
      <c r="DK92" s="228">
        <f t="shared" si="97"/>
        <v>78328.188213800866</v>
      </c>
      <c r="DL92" s="228">
        <f t="shared" si="97"/>
        <v>0</v>
      </c>
      <c r="DM92" s="228">
        <f t="shared" si="97"/>
        <v>0</v>
      </c>
      <c r="DN92" s="228">
        <f t="shared" si="97"/>
        <v>0</v>
      </c>
      <c r="DO92" s="228">
        <f t="shared" si="97"/>
        <v>0</v>
      </c>
      <c r="DP92" s="228">
        <f t="shared" si="97"/>
        <v>0</v>
      </c>
      <c r="DQ92" s="228">
        <f t="shared" si="97"/>
        <v>53335.392373871575</v>
      </c>
      <c r="DR92" s="228">
        <f t="shared" si="97"/>
        <v>0</v>
      </c>
      <c r="DS92" s="228">
        <f t="shared" si="97"/>
        <v>0</v>
      </c>
      <c r="DT92" s="228">
        <f t="shared" si="97"/>
        <v>0</v>
      </c>
      <c r="DU92" s="228">
        <f t="shared" si="97"/>
        <v>0</v>
      </c>
      <c r="DV92" s="228">
        <f t="shared" si="97"/>
        <v>0</v>
      </c>
      <c r="DW92" s="228">
        <f t="shared" si="97"/>
        <v>27242.147465522932</v>
      </c>
      <c r="DX92" s="228">
        <f t="shared" si="97"/>
        <v>0</v>
      </c>
      <c r="DY92" s="228">
        <f t="shared" si="97"/>
        <v>0</v>
      </c>
      <c r="DZ92" s="228">
        <f t="shared" si="97"/>
        <v>0</v>
      </c>
      <c r="EA92" s="228">
        <f t="shared" si="97"/>
        <v>0</v>
      </c>
      <c r="EB92" s="228">
        <f t="shared" si="97"/>
        <v>0</v>
      </c>
      <c r="EC92" s="228">
        <f t="shared" si="97"/>
        <v>0</v>
      </c>
      <c r="ED92" s="228">
        <f t="shared" si="97"/>
        <v>0</v>
      </c>
      <c r="EE92" s="228">
        <f t="shared" si="97"/>
        <v>0</v>
      </c>
      <c r="EF92" s="228">
        <f t="shared" si="97"/>
        <v>0</v>
      </c>
      <c r="EG92" s="228">
        <f t="shared" ref="EG92:EQ92" si="98">IF(AND(EG87&gt;0,EG89&gt;DATE(YEAR($B$41)+1,MONTH($B$41),DAY($B$41))),IPMT($C84,EG87,$C78,-$C76),0)+IF(AND(EG87&gt;0,EG89&lt;DATE(YEAR($B$41)+1,MONTH($B$41),DAY($B$41))),$C76*$C82,0)</f>
        <v>0</v>
      </c>
      <c r="EH92" s="228">
        <f t="shared" si="98"/>
        <v>0</v>
      </c>
      <c r="EI92" s="228">
        <f t="shared" si="98"/>
        <v>0</v>
      </c>
      <c r="EJ92" s="228">
        <f t="shared" si="98"/>
        <v>0</v>
      </c>
      <c r="EK92" s="228">
        <f t="shared" si="98"/>
        <v>0</v>
      </c>
      <c r="EL92" s="228">
        <f t="shared" si="98"/>
        <v>0</v>
      </c>
      <c r="EM92" s="228">
        <f t="shared" si="98"/>
        <v>0</v>
      </c>
      <c r="EN92" s="228">
        <f t="shared" si="98"/>
        <v>0</v>
      </c>
      <c r="EO92" s="228">
        <f t="shared" si="98"/>
        <v>0</v>
      </c>
      <c r="EP92" s="228">
        <f t="shared" si="98"/>
        <v>0</v>
      </c>
      <c r="EQ92" s="229">
        <f t="shared" si="98"/>
        <v>0</v>
      </c>
    </row>
    <row r="93" spans="1:147" x14ac:dyDescent="0.25">
      <c r="A93" s="226" t="s">
        <v>355</v>
      </c>
      <c r="B93" s="227"/>
      <c r="C93" s="228">
        <f>SUM(D93:EQ93)</f>
        <v>36539.308427202275</v>
      </c>
      <c r="D93" s="228">
        <f t="shared" ref="D93:BO93" si="99">IF(D89=$C75,$C76*$C86,0)</f>
        <v>0</v>
      </c>
      <c r="E93" s="228">
        <f t="shared" si="99"/>
        <v>0</v>
      </c>
      <c r="F93" s="228">
        <f t="shared" si="99"/>
        <v>0</v>
      </c>
      <c r="G93" s="228">
        <f t="shared" si="99"/>
        <v>0</v>
      </c>
      <c r="H93" s="228">
        <f t="shared" si="99"/>
        <v>0</v>
      </c>
      <c r="I93" s="228">
        <f t="shared" si="99"/>
        <v>0</v>
      </c>
      <c r="J93" s="228">
        <f t="shared" si="99"/>
        <v>0</v>
      </c>
      <c r="K93" s="228">
        <f t="shared" si="99"/>
        <v>0</v>
      </c>
      <c r="L93" s="228">
        <f t="shared" si="99"/>
        <v>0</v>
      </c>
      <c r="M93" s="228">
        <f t="shared" si="99"/>
        <v>0</v>
      </c>
      <c r="N93" s="228">
        <f t="shared" si="99"/>
        <v>0</v>
      </c>
      <c r="O93" s="228">
        <f t="shared" si="99"/>
        <v>0</v>
      </c>
      <c r="P93" s="228">
        <f t="shared" si="99"/>
        <v>0</v>
      </c>
      <c r="Q93" s="228">
        <f t="shared" si="99"/>
        <v>0</v>
      </c>
      <c r="R93" s="228">
        <f t="shared" si="99"/>
        <v>0</v>
      </c>
      <c r="S93" s="228">
        <f t="shared" si="99"/>
        <v>0</v>
      </c>
      <c r="T93" s="228">
        <f t="shared" si="99"/>
        <v>0</v>
      </c>
      <c r="U93" s="228">
        <f t="shared" si="99"/>
        <v>0</v>
      </c>
      <c r="V93" s="228">
        <f t="shared" si="99"/>
        <v>0</v>
      </c>
      <c r="W93" s="228">
        <f t="shared" si="99"/>
        <v>0</v>
      </c>
      <c r="X93" s="228">
        <f t="shared" si="99"/>
        <v>0</v>
      </c>
      <c r="Y93" s="228">
        <f t="shared" si="99"/>
        <v>0</v>
      </c>
      <c r="Z93" s="228">
        <f t="shared" si="99"/>
        <v>0</v>
      </c>
      <c r="AA93" s="228">
        <f t="shared" si="99"/>
        <v>0</v>
      </c>
      <c r="AB93" s="228">
        <f t="shared" si="99"/>
        <v>0</v>
      </c>
      <c r="AC93" s="228">
        <f t="shared" si="99"/>
        <v>0</v>
      </c>
      <c r="AD93" s="228">
        <f t="shared" si="99"/>
        <v>0</v>
      </c>
      <c r="AE93" s="228">
        <f t="shared" si="99"/>
        <v>36539.308427202275</v>
      </c>
      <c r="AF93" s="228">
        <f t="shared" si="99"/>
        <v>0</v>
      </c>
      <c r="AG93" s="228">
        <f t="shared" si="99"/>
        <v>0</v>
      </c>
      <c r="AH93" s="228">
        <f t="shared" si="99"/>
        <v>0</v>
      </c>
      <c r="AI93" s="228">
        <f t="shared" si="99"/>
        <v>0</v>
      </c>
      <c r="AJ93" s="228">
        <f t="shared" si="99"/>
        <v>0</v>
      </c>
      <c r="AK93" s="228">
        <f t="shared" si="99"/>
        <v>0</v>
      </c>
      <c r="AL93" s="228">
        <f t="shared" si="99"/>
        <v>0</v>
      </c>
      <c r="AM93" s="228">
        <f t="shared" si="99"/>
        <v>0</v>
      </c>
      <c r="AN93" s="228">
        <f t="shared" si="99"/>
        <v>0</v>
      </c>
      <c r="AO93" s="228">
        <f t="shared" si="99"/>
        <v>0</v>
      </c>
      <c r="AP93" s="228">
        <f t="shared" si="99"/>
        <v>0</v>
      </c>
      <c r="AQ93" s="228">
        <f t="shared" si="99"/>
        <v>0</v>
      </c>
      <c r="AR93" s="228">
        <f t="shared" si="99"/>
        <v>0</v>
      </c>
      <c r="AS93" s="228">
        <f t="shared" si="99"/>
        <v>0</v>
      </c>
      <c r="AT93" s="228">
        <f t="shared" si="99"/>
        <v>0</v>
      </c>
      <c r="AU93" s="228">
        <f t="shared" si="99"/>
        <v>0</v>
      </c>
      <c r="AV93" s="228">
        <f t="shared" si="99"/>
        <v>0</v>
      </c>
      <c r="AW93" s="228">
        <f t="shared" si="99"/>
        <v>0</v>
      </c>
      <c r="AX93" s="228">
        <f t="shared" si="99"/>
        <v>0</v>
      </c>
      <c r="AY93" s="228">
        <f t="shared" si="99"/>
        <v>0</v>
      </c>
      <c r="AZ93" s="228">
        <f t="shared" si="99"/>
        <v>0</v>
      </c>
      <c r="BA93" s="228">
        <f t="shared" si="99"/>
        <v>0</v>
      </c>
      <c r="BB93" s="228">
        <f t="shared" si="99"/>
        <v>0</v>
      </c>
      <c r="BC93" s="228">
        <f t="shared" si="99"/>
        <v>0</v>
      </c>
      <c r="BD93" s="228">
        <f t="shared" si="99"/>
        <v>0</v>
      </c>
      <c r="BE93" s="228">
        <f t="shared" si="99"/>
        <v>0</v>
      </c>
      <c r="BF93" s="228">
        <f t="shared" si="99"/>
        <v>0</v>
      </c>
      <c r="BG93" s="228">
        <f t="shared" si="99"/>
        <v>0</v>
      </c>
      <c r="BH93" s="228">
        <f t="shared" si="99"/>
        <v>0</v>
      </c>
      <c r="BI93" s="228">
        <f t="shared" si="99"/>
        <v>0</v>
      </c>
      <c r="BJ93" s="228">
        <f t="shared" si="99"/>
        <v>0</v>
      </c>
      <c r="BK93" s="228">
        <f t="shared" si="99"/>
        <v>0</v>
      </c>
      <c r="BL93" s="228">
        <f t="shared" si="99"/>
        <v>0</v>
      </c>
      <c r="BM93" s="228">
        <f t="shared" si="99"/>
        <v>0</v>
      </c>
      <c r="BN93" s="228">
        <f t="shared" si="99"/>
        <v>0</v>
      </c>
      <c r="BO93" s="228">
        <f t="shared" si="99"/>
        <v>0</v>
      </c>
      <c r="BP93" s="228">
        <f t="shared" ref="BP93:EA93" si="100">IF(BP89=$C75,$C76*$C86,0)</f>
        <v>0</v>
      </c>
      <c r="BQ93" s="228">
        <f t="shared" si="100"/>
        <v>0</v>
      </c>
      <c r="BR93" s="228">
        <f t="shared" si="100"/>
        <v>0</v>
      </c>
      <c r="BS93" s="228">
        <f t="shared" si="100"/>
        <v>0</v>
      </c>
      <c r="BT93" s="228">
        <f t="shared" si="100"/>
        <v>0</v>
      </c>
      <c r="BU93" s="228">
        <f t="shared" si="100"/>
        <v>0</v>
      </c>
      <c r="BV93" s="228">
        <f t="shared" si="100"/>
        <v>0</v>
      </c>
      <c r="BW93" s="228">
        <f t="shared" si="100"/>
        <v>0</v>
      </c>
      <c r="BX93" s="228">
        <f t="shared" si="100"/>
        <v>0</v>
      </c>
      <c r="BY93" s="228">
        <f t="shared" si="100"/>
        <v>0</v>
      </c>
      <c r="BZ93" s="228">
        <f t="shared" si="100"/>
        <v>0</v>
      </c>
      <c r="CA93" s="228">
        <f t="shared" si="100"/>
        <v>0</v>
      </c>
      <c r="CB93" s="228">
        <f t="shared" si="100"/>
        <v>0</v>
      </c>
      <c r="CC93" s="228">
        <f t="shared" si="100"/>
        <v>0</v>
      </c>
      <c r="CD93" s="228">
        <f t="shared" si="100"/>
        <v>0</v>
      </c>
      <c r="CE93" s="228">
        <f t="shared" si="100"/>
        <v>0</v>
      </c>
      <c r="CF93" s="228">
        <f t="shared" si="100"/>
        <v>0</v>
      </c>
      <c r="CG93" s="228">
        <f t="shared" si="100"/>
        <v>0</v>
      </c>
      <c r="CH93" s="228">
        <f t="shared" si="100"/>
        <v>0</v>
      </c>
      <c r="CI93" s="228">
        <f t="shared" si="100"/>
        <v>0</v>
      </c>
      <c r="CJ93" s="228">
        <f t="shared" si="100"/>
        <v>0</v>
      </c>
      <c r="CK93" s="228">
        <f t="shared" si="100"/>
        <v>0</v>
      </c>
      <c r="CL93" s="228">
        <f t="shared" si="100"/>
        <v>0</v>
      </c>
      <c r="CM93" s="228">
        <f t="shared" si="100"/>
        <v>0</v>
      </c>
      <c r="CN93" s="228">
        <f t="shared" si="100"/>
        <v>0</v>
      </c>
      <c r="CO93" s="228">
        <f t="shared" si="100"/>
        <v>0</v>
      </c>
      <c r="CP93" s="228">
        <f t="shared" si="100"/>
        <v>0</v>
      </c>
      <c r="CQ93" s="228">
        <f t="shared" si="100"/>
        <v>0</v>
      </c>
      <c r="CR93" s="228">
        <f t="shared" si="100"/>
        <v>0</v>
      </c>
      <c r="CS93" s="228">
        <f t="shared" si="100"/>
        <v>0</v>
      </c>
      <c r="CT93" s="228">
        <f t="shared" si="100"/>
        <v>0</v>
      </c>
      <c r="CU93" s="228">
        <f t="shared" si="100"/>
        <v>0</v>
      </c>
      <c r="CV93" s="228">
        <f t="shared" si="100"/>
        <v>0</v>
      </c>
      <c r="CW93" s="228">
        <f t="shared" si="100"/>
        <v>0</v>
      </c>
      <c r="CX93" s="228">
        <f t="shared" si="100"/>
        <v>0</v>
      </c>
      <c r="CY93" s="228">
        <f t="shared" si="100"/>
        <v>0</v>
      </c>
      <c r="CZ93" s="228">
        <f t="shared" si="100"/>
        <v>0</v>
      </c>
      <c r="DA93" s="228">
        <f t="shared" si="100"/>
        <v>0</v>
      </c>
      <c r="DB93" s="228">
        <f t="shared" si="100"/>
        <v>0</v>
      </c>
      <c r="DC93" s="228">
        <f t="shared" si="100"/>
        <v>0</v>
      </c>
      <c r="DD93" s="228">
        <f t="shared" si="100"/>
        <v>0</v>
      </c>
      <c r="DE93" s="228">
        <f t="shared" si="100"/>
        <v>0</v>
      </c>
      <c r="DF93" s="228">
        <f t="shared" si="100"/>
        <v>0</v>
      </c>
      <c r="DG93" s="228">
        <f t="shared" si="100"/>
        <v>0</v>
      </c>
      <c r="DH93" s="228">
        <f t="shared" si="100"/>
        <v>0</v>
      </c>
      <c r="DI93" s="228">
        <f t="shared" si="100"/>
        <v>0</v>
      </c>
      <c r="DJ93" s="228">
        <f t="shared" si="100"/>
        <v>0</v>
      </c>
      <c r="DK93" s="228">
        <f t="shared" si="100"/>
        <v>0</v>
      </c>
      <c r="DL93" s="228">
        <f t="shared" si="100"/>
        <v>0</v>
      </c>
      <c r="DM93" s="228">
        <f t="shared" si="100"/>
        <v>0</v>
      </c>
      <c r="DN93" s="228">
        <f t="shared" si="100"/>
        <v>0</v>
      </c>
      <c r="DO93" s="228">
        <f t="shared" si="100"/>
        <v>0</v>
      </c>
      <c r="DP93" s="228">
        <f t="shared" si="100"/>
        <v>0</v>
      </c>
      <c r="DQ93" s="228">
        <f t="shared" si="100"/>
        <v>0</v>
      </c>
      <c r="DR93" s="228">
        <f t="shared" si="100"/>
        <v>0</v>
      </c>
      <c r="DS93" s="228">
        <f t="shared" si="100"/>
        <v>0</v>
      </c>
      <c r="DT93" s="228">
        <f t="shared" si="100"/>
        <v>0</v>
      </c>
      <c r="DU93" s="228">
        <f t="shared" si="100"/>
        <v>0</v>
      </c>
      <c r="DV93" s="228">
        <f t="shared" si="100"/>
        <v>0</v>
      </c>
      <c r="DW93" s="228">
        <f t="shared" si="100"/>
        <v>0</v>
      </c>
      <c r="DX93" s="228">
        <f t="shared" si="100"/>
        <v>0</v>
      </c>
      <c r="DY93" s="228">
        <f t="shared" si="100"/>
        <v>0</v>
      </c>
      <c r="DZ93" s="228">
        <f t="shared" si="100"/>
        <v>0</v>
      </c>
      <c r="EA93" s="228">
        <f t="shared" si="100"/>
        <v>0</v>
      </c>
      <c r="EB93" s="228">
        <f t="shared" ref="EB93:EQ93" si="101">IF(EB89=$C75,$C76*$C86,0)</f>
        <v>0</v>
      </c>
      <c r="EC93" s="228">
        <f t="shared" si="101"/>
        <v>0</v>
      </c>
      <c r="ED93" s="228">
        <f t="shared" si="101"/>
        <v>0</v>
      </c>
      <c r="EE93" s="228">
        <f t="shared" si="101"/>
        <v>0</v>
      </c>
      <c r="EF93" s="228">
        <f t="shared" si="101"/>
        <v>0</v>
      </c>
      <c r="EG93" s="228">
        <f t="shared" si="101"/>
        <v>0</v>
      </c>
      <c r="EH93" s="228">
        <f t="shared" si="101"/>
        <v>0</v>
      </c>
      <c r="EI93" s="228">
        <f t="shared" si="101"/>
        <v>0</v>
      </c>
      <c r="EJ93" s="228">
        <f t="shared" si="101"/>
        <v>0</v>
      </c>
      <c r="EK93" s="228">
        <f t="shared" si="101"/>
        <v>0</v>
      </c>
      <c r="EL93" s="228">
        <f t="shared" si="101"/>
        <v>0</v>
      </c>
      <c r="EM93" s="228">
        <f t="shared" si="101"/>
        <v>0</v>
      </c>
      <c r="EN93" s="228">
        <f t="shared" si="101"/>
        <v>0</v>
      </c>
      <c r="EO93" s="228">
        <f t="shared" si="101"/>
        <v>0</v>
      </c>
      <c r="EP93" s="228">
        <f t="shared" si="101"/>
        <v>0</v>
      </c>
      <c r="EQ93" s="229">
        <f t="shared" si="101"/>
        <v>0</v>
      </c>
    </row>
    <row r="94" spans="1:147" x14ac:dyDescent="0.25">
      <c r="A94" s="230" t="s">
        <v>356</v>
      </c>
      <c r="B94" s="231"/>
      <c r="C94" s="232"/>
      <c r="D94" s="232">
        <f t="shared" ref="D94:BO94" si="102">IF(D89=$C75,$C76,C94-D91)</f>
        <v>0</v>
      </c>
      <c r="E94" s="232">
        <f t="shared" si="102"/>
        <v>0</v>
      </c>
      <c r="F94" s="232">
        <f t="shared" si="102"/>
        <v>0</v>
      </c>
      <c r="G94" s="232">
        <f t="shared" si="102"/>
        <v>0</v>
      </c>
      <c r="H94" s="232">
        <f t="shared" si="102"/>
        <v>0</v>
      </c>
      <c r="I94" s="232">
        <f t="shared" si="102"/>
        <v>0</v>
      </c>
      <c r="J94" s="232">
        <f t="shared" si="102"/>
        <v>0</v>
      </c>
      <c r="K94" s="232">
        <f t="shared" si="102"/>
        <v>0</v>
      </c>
      <c r="L94" s="232">
        <f t="shared" si="102"/>
        <v>0</v>
      </c>
      <c r="M94" s="232">
        <f t="shared" si="102"/>
        <v>0</v>
      </c>
      <c r="N94" s="232">
        <f t="shared" si="102"/>
        <v>0</v>
      </c>
      <c r="O94" s="232">
        <f t="shared" si="102"/>
        <v>0</v>
      </c>
      <c r="P94" s="232">
        <f t="shared" si="102"/>
        <v>0</v>
      </c>
      <c r="Q94" s="232">
        <f t="shared" si="102"/>
        <v>0</v>
      </c>
      <c r="R94" s="232">
        <f t="shared" si="102"/>
        <v>0</v>
      </c>
      <c r="S94" s="232">
        <f t="shared" si="102"/>
        <v>0</v>
      </c>
      <c r="T94" s="232">
        <f t="shared" si="102"/>
        <v>0</v>
      </c>
      <c r="U94" s="232">
        <f t="shared" si="102"/>
        <v>0</v>
      </c>
      <c r="V94" s="232">
        <f t="shared" si="102"/>
        <v>0</v>
      </c>
      <c r="W94" s="232">
        <f t="shared" si="102"/>
        <v>0</v>
      </c>
      <c r="X94" s="232">
        <f t="shared" si="102"/>
        <v>0</v>
      </c>
      <c r="Y94" s="232">
        <f t="shared" si="102"/>
        <v>0</v>
      </c>
      <c r="Z94" s="232">
        <f t="shared" si="102"/>
        <v>0</v>
      </c>
      <c r="AA94" s="232">
        <f t="shared" si="102"/>
        <v>0</v>
      </c>
      <c r="AB94" s="232">
        <f t="shared" si="102"/>
        <v>0</v>
      </c>
      <c r="AC94" s="232">
        <f t="shared" si="102"/>
        <v>0</v>
      </c>
      <c r="AD94" s="232">
        <f t="shared" si="102"/>
        <v>0</v>
      </c>
      <c r="AE94" s="232">
        <f t="shared" si="102"/>
        <v>7307861.6854404556</v>
      </c>
      <c r="AF94" s="232">
        <f t="shared" si="102"/>
        <v>7307861.6854404556</v>
      </c>
      <c r="AG94" s="232">
        <f t="shared" si="102"/>
        <v>7307861.6854404556</v>
      </c>
      <c r="AH94" s="232">
        <f t="shared" si="102"/>
        <v>7307861.6854404556</v>
      </c>
      <c r="AI94" s="232">
        <f t="shared" si="102"/>
        <v>7307861.6854404556</v>
      </c>
      <c r="AJ94" s="232">
        <f t="shared" si="102"/>
        <v>7307861.6854404556</v>
      </c>
      <c r="AK94" s="232">
        <f t="shared" si="102"/>
        <v>6983680.7288775351</v>
      </c>
      <c r="AL94" s="232">
        <f t="shared" si="102"/>
        <v>6983680.7288775351</v>
      </c>
      <c r="AM94" s="232">
        <f t="shared" si="102"/>
        <v>6983680.7288775351</v>
      </c>
      <c r="AN94" s="232">
        <f t="shared" si="102"/>
        <v>6983680.7288775351</v>
      </c>
      <c r="AO94" s="232">
        <f t="shared" si="102"/>
        <v>6983680.7288775351</v>
      </c>
      <c r="AP94" s="232">
        <f t="shared" si="102"/>
        <v>6983680.7288775351</v>
      </c>
      <c r="AQ94" s="232">
        <f t="shared" si="102"/>
        <v>6645225.8737906646</v>
      </c>
      <c r="AR94" s="232">
        <f t="shared" si="102"/>
        <v>6645225.8737906646</v>
      </c>
      <c r="AS94" s="232">
        <f t="shared" si="102"/>
        <v>6645225.8737906646</v>
      </c>
      <c r="AT94" s="232">
        <f t="shared" si="102"/>
        <v>6645225.8737906646</v>
      </c>
      <c r="AU94" s="232">
        <f t="shared" si="102"/>
        <v>6645225.8737906646</v>
      </c>
      <c r="AV94" s="232">
        <f t="shared" si="102"/>
        <v>6645225.8737906646</v>
      </c>
      <c r="AW94" s="232">
        <f t="shared" si="102"/>
        <v>6291868.6311370814</v>
      </c>
      <c r="AX94" s="232">
        <f t="shared" si="102"/>
        <v>6291868.6311370814</v>
      </c>
      <c r="AY94" s="232">
        <f t="shared" si="102"/>
        <v>6291868.6311370814</v>
      </c>
      <c r="AZ94" s="232">
        <f t="shared" si="102"/>
        <v>6291868.6311370814</v>
      </c>
      <c r="BA94" s="232">
        <f t="shared" si="102"/>
        <v>6291868.6311370814</v>
      </c>
      <c r="BB94" s="232">
        <f t="shared" si="102"/>
        <v>6291868.6311370814</v>
      </c>
      <c r="BC94" s="232">
        <f t="shared" si="102"/>
        <v>5922952.8390923925</v>
      </c>
      <c r="BD94" s="232">
        <f t="shared" si="102"/>
        <v>5922952.8390923925</v>
      </c>
      <c r="BE94" s="232">
        <f t="shared" si="102"/>
        <v>5922952.8390923925</v>
      </c>
      <c r="BF94" s="232">
        <f t="shared" si="102"/>
        <v>5922952.8390923925</v>
      </c>
      <c r="BG94" s="232">
        <f t="shared" si="102"/>
        <v>5922952.8390923925</v>
      </c>
      <c r="BH94" s="232">
        <f t="shared" si="102"/>
        <v>5922952.8390923925</v>
      </c>
      <c r="BI94" s="232">
        <f t="shared" si="102"/>
        <v>5537793.444599987</v>
      </c>
      <c r="BJ94" s="232">
        <f t="shared" si="102"/>
        <v>5537793.444599987</v>
      </c>
      <c r="BK94" s="232">
        <f t="shared" si="102"/>
        <v>5537793.444599987</v>
      </c>
      <c r="BL94" s="232">
        <f t="shared" si="102"/>
        <v>5537793.444599987</v>
      </c>
      <c r="BM94" s="232">
        <f t="shared" si="102"/>
        <v>5537793.444599987</v>
      </c>
      <c r="BN94" s="232">
        <f t="shared" si="102"/>
        <v>5537793.444599987</v>
      </c>
      <c r="BO94" s="232">
        <f t="shared" si="102"/>
        <v>5135675.2312712763</v>
      </c>
      <c r="BP94" s="232">
        <f t="shared" ref="BP94:EA94" si="103">IF(BP89=$C75,$C76,BO94-BP91)</f>
        <v>5135675.2312712763</v>
      </c>
      <c r="BQ94" s="232">
        <f t="shared" si="103"/>
        <v>5135675.2312712763</v>
      </c>
      <c r="BR94" s="232">
        <f t="shared" si="103"/>
        <v>5135675.2312712763</v>
      </c>
      <c r="BS94" s="232">
        <f t="shared" si="103"/>
        <v>5135675.2312712763</v>
      </c>
      <c r="BT94" s="232">
        <f t="shared" si="103"/>
        <v>5135675.2312712763</v>
      </c>
      <c r="BU94" s="232">
        <f t="shared" si="103"/>
        <v>4715851.4912745543</v>
      </c>
      <c r="BV94" s="232">
        <f t="shared" si="103"/>
        <v>4715851.4912745543</v>
      </c>
      <c r="BW94" s="232">
        <f t="shared" si="103"/>
        <v>4715851.4912745543</v>
      </c>
      <c r="BX94" s="232">
        <f t="shared" si="103"/>
        <v>4715851.4912745543</v>
      </c>
      <c r="BY94" s="232">
        <f t="shared" si="103"/>
        <v>4715851.4912745543</v>
      </c>
      <c r="BZ94" s="232">
        <f t="shared" si="103"/>
        <v>4715851.4912745543</v>
      </c>
      <c r="CA94" s="232">
        <f t="shared" si="103"/>
        <v>4277542.6387462597</v>
      </c>
      <c r="CB94" s="232">
        <f t="shared" si="103"/>
        <v>4277542.6387462597</v>
      </c>
      <c r="CC94" s="232">
        <f t="shared" si="103"/>
        <v>4277542.6387462597</v>
      </c>
      <c r="CD94" s="232">
        <f t="shared" si="103"/>
        <v>4277542.6387462597</v>
      </c>
      <c r="CE94" s="232">
        <f t="shared" si="103"/>
        <v>4277542.6387462597</v>
      </c>
      <c r="CF94" s="232">
        <f t="shared" si="103"/>
        <v>4277542.6387462597</v>
      </c>
      <c r="CG94" s="232">
        <f t="shared" si="103"/>
        <v>3819934.7621498327</v>
      </c>
      <c r="CH94" s="232">
        <f t="shared" si="103"/>
        <v>3819934.7621498327</v>
      </c>
      <c r="CI94" s="232">
        <f t="shared" si="103"/>
        <v>3819934.7621498327</v>
      </c>
      <c r="CJ94" s="232">
        <f t="shared" si="103"/>
        <v>3819934.7621498327</v>
      </c>
      <c r="CK94" s="232">
        <f t="shared" si="103"/>
        <v>3819934.7621498327</v>
      </c>
      <c r="CL94" s="232">
        <f t="shared" si="103"/>
        <v>3819934.7621498327</v>
      </c>
      <c r="CM94" s="232">
        <f t="shared" si="103"/>
        <v>3342178.1128939912</v>
      </c>
      <c r="CN94" s="232">
        <f t="shared" si="103"/>
        <v>3342178.1128939912</v>
      </c>
      <c r="CO94" s="232">
        <f t="shared" si="103"/>
        <v>3342178.1128939912</v>
      </c>
      <c r="CP94" s="232">
        <f t="shared" si="103"/>
        <v>3342178.1128939912</v>
      </c>
      <c r="CQ94" s="232">
        <f t="shared" si="103"/>
        <v>3342178.1128939912</v>
      </c>
      <c r="CR94" s="232">
        <f t="shared" si="103"/>
        <v>3342178.1128939912</v>
      </c>
      <c r="CS94" s="232">
        <f t="shared" si="103"/>
        <v>2843385.5274038855</v>
      </c>
      <c r="CT94" s="232">
        <f t="shared" si="103"/>
        <v>2843385.5274038855</v>
      </c>
      <c r="CU94" s="232">
        <f t="shared" si="103"/>
        <v>2843385.5274038855</v>
      </c>
      <c r="CV94" s="232">
        <f t="shared" si="103"/>
        <v>2843385.5274038855</v>
      </c>
      <c r="CW94" s="232">
        <f t="shared" si="103"/>
        <v>2843385.5274038855</v>
      </c>
      <c r="CX94" s="232">
        <f t="shared" si="103"/>
        <v>2843385.5274038855</v>
      </c>
      <c r="CY94" s="232">
        <f t="shared" si="103"/>
        <v>2322630.7797150183</v>
      </c>
      <c r="CZ94" s="232">
        <f t="shared" si="103"/>
        <v>2322630.7797150183</v>
      </c>
      <c r="DA94" s="232">
        <f t="shared" si="103"/>
        <v>2322630.7797150183</v>
      </c>
      <c r="DB94" s="232">
        <f t="shared" si="103"/>
        <v>2322630.7797150183</v>
      </c>
      <c r="DC94" s="232">
        <f t="shared" si="103"/>
        <v>2322630.7797150183</v>
      </c>
      <c r="DD94" s="232">
        <f t="shared" si="103"/>
        <v>2322630.7797150183</v>
      </c>
      <c r="DE94" s="232">
        <f t="shared" si="103"/>
        <v>1778946.8615308031</v>
      </c>
      <c r="DF94" s="232">
        <f t="shared" si="103"/>
        <v>1778946.8615308031</v>
      </c>
      <c r="DG94" s="232">
        <f t="shared" si="103"/>
        <v>1778946.8615308031</v>
      </c>
      <c r="DH94" s="232">
        <f t="shared" si="103"/>
        <v>1778946.8615308031</v>
      </c>
      <c r="DI94" s="232">
        <f t="shared" si="103"/>
        <v>1778946.8615308031</v>
      </c>
      <c r="DJ94" s="232">
        <f t="shared" si="103"/>
        <v>1778946.8615308031</v>
      </c>
      <c r="DK94" s="232">
        <f t="shared" si="103"/>
        <v>1211324.1865499378</v>
      </c>
      <c r="DL94" s="232">
        <f t="shared" si="103"/>
        <v>1211324.1865499378</v>
      </c>
      <c r="DM94" s="232">
        <f t="shared" si="103"/>
        <v>1211324.1865499378</v>
      </c>
      <c r="DN94" s="232">
        <f t="shared" si="103"/>
        <v>1211324.1865499378</v>
      </c>
      <c r="DO94" s="232">
        <f t="shared" si="103"/>
        <v>1211324.1865499378</v>
      </c>
      <c r="DP94" s="232">
        <f t="shared" si="103"/>
        <v>1211324.1865499378</v>
      </c>
      <c r="DQ94" s="232">
        <f t="shared" si="103"/>
        <v>618708.71572914324</v>
      </c>
      <c r="DR94" s="232">
        <f t="shared" si="103"/>
        <v>618708.71572914324</v>
      </c>
      <c r="DS94" s="232">
        <f t="shared" si="103"/>
        <v>618708.71572914324</v>
      </c>
      <c r="DT94" s="232">
        <f t="shared" si="103"/>
        <v>618708.71572914324</v>
      </c>
      <c r="DU94" s="232">
        <f t="shared" si="103"/>
        <v>618708.71572914324</v>
      </c>
      <c r="DV94" s="232">
        <f t="shared" si="103"/>
        <v>618708.71572914324</v>
      </c>
      <c r="DW94" s="232">
        <f t="shared" si="103"/>
        <v>1.1641532182693481E-10</v>
      </c>
      <c r="DX94" s="232">
        <f t="shared" si="103"/>
        <v>1.1641532182693481E-10</v>
      </c>
      <c r="DY94" s="232">
        <f t="shared" si="103"/>
        <v>1.1641532182693481E-10</v>
      </c>
      <c r="DZ94" s="232">
        <f t="shared" si="103"/>
        <v>1.1641532182693481E-10</v>
      </c>
      <c r="EA94" s="232">
        <f t="shared" si="103"/>
        <v>1.1641532182693481E-10</v>
      </c>
      <c r="EB94" s="232">
        <f t="shared" ref="EB94:EQ94" si="104">IF(EB89=$C75,$C76,EA94-EB91)</f>
        <v>1.1641532182693481E-10</v>
      </c>
      <c r="EC94" s="232">
        <f t="shared" si="104"/>
        <v>1.1641532182693481E-10</v>
      </c>
      <c r="ED94" s="232">
        <f t="shared" si="104"/>
        <v>1.1641532182693481E-10</v>
      </c>
      <c r="EE94" s="232">
        <f t="shared" si="104"/>
        <v>1.1641532182693481E-10</v>
      </c>
      <c r="EF94" s="232">
        <f t="shared" si="104"/>
        <v>1.1641532182693481E-10</v>
      </c>
      <c r="EG94" s="232">
        <f t="shared" si="104"/>
        <v>1.1641532182693481E-10</v>
      </c>
      <c r="EH94" s="232">
        <f t="shared" si="104"/>
        <v>1.1641532182693481E-10</v>
      </c>
      <c r="EI94" s="232">
        <f t="shared" si="104"/>
        <v>1.1641532182693481E-10</v>
      </c>
      <c r="EJ94" s="232">
        <f t="shared" si="104"/>
        <v>1.1641532182693481E-10</v>
      </c>
      <c r="EK94" s="232">
        <f t="shared" si="104"/>
        <v>1.1641532182693481E-10</v>
      </c>
      <c r="EL94" s="232">
        <f t="shared" si="104"/>
        <v>1.1641532182693481E-10</v>
      </c>
      <c r="EM94" s="232">
        <f t="shared" si="104"/>
        <v>1.1641532182693481E-10</v>
      </c>
      <c r="EN94" s="232">
        <f t="shared" si="104"/>
        <v>1.1641532182693481E-10</v>
      </c>
      <c r="EO94" s="232">
        <f t="shared" si="104"/>
        <v>1.1641532182693481E-10</v>
      </c>
      <c r="EP94" s="232">
        <f t="shared" si="104"/>
        <v>1.1641532182693481E-10</v>
      </c>
      <c r="EQ94" s="233">
        <f t="shared" si="104"/>
        <v>1.1641532182693481E-10</v>
      </c>
    </row>
    <row r="95" spans="1:147" x14ac:dyDescent="0.25"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  <c r="AV95" s="234"/>
      <c r="AW95" s="234"/>
      <c r="AX95" s="234"/>
      <c r="AY95" s="234"/>
      <c r="AZ95" s="234"/>
      <c r="BA95" s="234"/>
      <c r="BB95" s="234"/>
      <c r="BC95" s="234"/>
      <c r="BD95" s="234"/>
      <c r="BE95" s="234"/>
      <c r="BF95" s="234"/>
      <c r="BG95" s="234"/>
      <c r="BH95" s="234"/>
      <c r="BI95" s="234"/>
      <c r="BJ95" s="234"/>
      <c r="BK95" s="234"/>
      <c r="BL95" s="234"/>
      <c r="BM95" s="234"/>
      <c r="BN95" s="234"/>
      <c r="BO95" s="234"/>
      <c r="BP95" s="234"/>
      <c r="BQ95" s="234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4"/>
      <c r="CG95" s="234"/>
      <c r="CH95" s="234"/>
      <c r="CI95" s="234"/>
      <c r="CJ95" s="234"/>
      <c r="CK95" s="234"/>
      <c r="CL95" s="234"/>
      <c r="CM95" s="234"/>
      <c r="CN95" s="234"/>
      <c r="CO95" s="234"/>
      <c r="CP95" s="234"/>
      <c r="CQ95" s="234"/>
      <c r="CR95" s="234"/>
      <c r="CS95" s="234"/>
      <c r="CT95" s="234"/>
      <c r="CU95" s="234"/>
      <c r="CV95" s="234"/>
      <c r="CW95" s="234"/>
      <c r="CX95" s="234"/>
      <c r="CY95" s="234"/>
      <c r="CZ95" s="234"/>
      <c r="DA95" s="234"/>
      <c r="DB95" s="234"/>
      <c r="DC95" s="234"/>
      <c r="DD95" s="234"/>
      <c r="DE95" s="234"/>
      <c r="DF95" s="234"/>
      <c r="DG95" s="234"/>
      <c r="DH95" s="234"/>
      <c r="DI95" s="234"/>
      <c r="DJ95" s="234"/>
      <c r="DK95" s="234"/>
      <c r="DL95" s="234"/>
      <c r="DM95" s="234"/>
      <c r="DN95" s="234"/>
      <c r="DO95" s="234"/>
      <c r="DP95" s="234"/>
      <c r="DQ95" s="234"/>
      <c r="DR95" s="234"/>
      <c r="DS95" s="234"/>
      <c r="DT95" s="234"/>
      <c r="DU95" s="234"/>
      <c r="DV95" s="234"/>
      <c r="DW95" s="234"/>
      <c r="DX95" s="234"/>
      <c r="DY95" s="234"/>
      <c r="DZ95" s="234"/>
      <c r="EA95" s="234"/>
      <c r="EB95" s="234"/>
      <c r="EC95" s="234"/>
      <c r="ED95" s="234"/>
      <c r="EE95" s="234"/>
      <c r="EF95" s="234"/>
      <c r="EG95" s="234"/>
      <c r="EH95" s="234"/>
      <c r="EI95" s="234"/>
      <c r="EJ95" s="234"/>
      <c r="EK95" s="234"/>
      <c r="EL95" s="234"/>
      <c r="EM95" s="234"/>
      <c r="EN95" s="234"/>
      <c r="EO95" s="234"/>
      <c r="EP95" s="234"/>
      <c r="EQ95" s="234"/>
    </row>
    <row r="96" spans="1:147" x14ac:dyDescent="0.25"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4"/>
      <c r="AW96" s="234"/>
      <c r="AX96" s="234"/>
      <c r="AY96" s="234"/>
      <c r="AZ96" s="234"/>
      <c r="BA96" s="234"/>
      <c r="BB96" s="234"/>
      <c r="BC96" s="234"/>
      <c r="BD96" s="234"/>
      <c r="BE96" s="234"/>
      <c r="BF96" s="234"/>
      <c r="BG96" s="234"/>
      <c r="BH96" s="234"/>
      <c r="BI96" s="234"/>
      <c r="BJ96" s="234"/>
      <c r="BK96" s="234"/>
      <c r="BL96" s="234"/>
      <c r="BM96" s="234"/>
      <c r="BN96" s="234"/>
      <c r="BO96" s="234"/>
      <c r="BP96" s="234"/>
      <c r="BQ96" s="234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4"/>
      <c r="CG96" s="234"/>
      <c r="CH96" s="234"/>
      <c r="CI96" s="234"/>
      <c r="CJ96" s="234"/>
      <c r="CK96" s="234"/>
      <c r="CL96" s="234"/>
      <c r="CM96" s="234"/>
      <c r="CN96" s="234"/>
      <c r="CO96" s="234"/>
      <c r="CP96" s="234"/>
      <c r="CQ96" s="234"/>
      <c r="CR96" s="234"/>
      <c r="CS96" s="234"/>
      <c r="CT96" s="234"/>
      <c r="CU96" s="234"/>
      <c r="CV96" s="234"/>
      <c r="CW96" s="234"/>
      <c r="CX96" s="234"/>
      <c r="CY96" s="234"/>
      <c r="CZ96" s="234"/>
      <c r="DA96" s="234"/>
      <c r="DB96" s="234"/>
      <c r="DC96" s="234"/>
      <c r="DD96" s="234"/>
      <c r="DE96" s="234"/>
      <c r="DF96" s="234"/>
      <c r="DG96" s="234"/>
      <c r="DH96" s="234"/>
      <c r="DI96" s="234"/>
      <c r="DJ96" s="234"/>
      <c r="DK96" s="234"/>
      <c r="DL96" s="234"/>
      <c r="DM96" s="234"/>
      <c r="DN96" s="234"/>
      <c r="DO96" s="234"/>
      <c r="DP96" s="234"/>
      <c r="DQ96" s="234"/>
      <c r="DR96" s="234"/>
      <c r="DS96" s="234"/>
      <c r="DT96" s="234"/>
      <c r="DU96" s="234"/>
      <c r="DV96" s="234"/>
      <c r="DW96" s="234"/>
      <c r="DX96" s="234"/>
      <c r="DY96" s="234"/>
      <c r="DZ96" s="234"/>
      <c r="EA96" s="234"/>
      <c r="EB96" s="234"/>
      <c r="EC96" s="234"/>
      <c r="ED96" s="234"/>
      <c r="EE96" s="234"/>
      <c r="EF96" s="234"/>
      <c r="EG96" s="234"/>
      <c r="EH96" s="234"/>
      <c r="EI96" s="234"/>
      <c r="EJ96" s="234"/>
      <c r="EK96" s="234"/>
      <c r="EL96" s="234"/>
      <c r="EM96" s="234"/>
      <c r="EN96" s="234"/>
      <c r="EO96" s="234"/>
      <c r="EP96" s="234"/>
      <c r="EQ96" s="234"/>
    </row>
    <row r="97" spans="1:147" ht="15.75" x14ac:dyDescent="0.25">
      <c r="A97" s="215" t="s">
        <v>374</v>
      </c>
      <c r="B97" s="215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  <c r="AV97" s="234"/>
      <c r="AW97" s="234"/>
      <c r="AX97" s="234"/>
      <c r="AY97" s="234"/>
      <c r="AZ97" s="234"/>
      <c r="BA97" s="234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/>
      <c r="BL97" s="234"/>
      <c r="BM97" s="234"/>
      <c r="BN97" s="234"/>
      <c r="BO97" s="234"/>
      <c r="BP97" s="234"/>
      <c r="BQ97" s="234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4"/>
      <c r="CG97" s="234"/>
      <c r="CH97" s="234"/>
      <c r="CI97" s="234"/>
      <c r="CJ97" s="234"/>
      <c r="CK97" s="234"/>
      <c r="CL97" s="234"/>
      <c r="CM97" s="234"/>
      <c r="CN97" s="234"/>
      <c r="CO97" s="234"/>
      <c r="CP97" s="234"/>
      <c r="CQ97" s="234"/>
      <c r="CR97" s="234"/>
      <c r="CS97" s="234"/>
      <c r="CT97" s="234"/>
      <c r="CU97" s="234"/>
      <c r="CV97" s="234"/>
      <c r="CW97" s="234"/>
      <c r="CX97" s="234"/>
      <c r="CY97" s="234"/>
      <c r="CZ97" s="234"/>
      <c r="DA97" s="234"/>
      <c r="DB97" s="234"/>
      <c r="DC97" s="234"/>
      <c r="DD97" s="234"/>
      <c r="DE97" s="234"/>
      <c r="DF97" s="234"/>
      <c r="DG97" s="234"/>
      <c r="DH97" s="234"/>
      <c r="DI97" s="234"/>
      <c r="DJ97" s="234"/>
      <c r="DK97" s="234"/>
      <c r="DL97" s="234"/>
      <c r="DM97" s="234"/>
      <c r="DN97" s="234"/>
      <c r="DO97" s="234"/>
      <c r="DP97" s="234"/>
      <c r="DQ97" s="234"/>
      <c r="DR97" s="234"/>
      <c r="DS97" s="234"/>
      <c r="DT97" s="234"/>
      <c r="DU97" s="234"/>
      <c r="DV97" s="234"/>
      <c r="DW97" s="234"/>
      <c r="DX97" s="234"/>
      <c r="DY97" s="234"/>
      <c r="DZ97" s="234"/>
      <c r="EA97" s="234"/>
      <c r="EB97" s="234"/>
      <c r="EC97" s="234"/>
      <c r="ED97" s="234"/>
      <c r="EE97" s="234"/>
      <c r="EF97" s="234"/>
      <c r="EG97" s="234"/>
      <c r="EH97" s="234"/>
      <c r="EI97" s="234"/>
      <c r="EJ97" s="234"/>
      <c r="EK97" s="234"/>
      <c r="EL97" s="234"/>
      <c r="EM97" s="234"/>
      <c r="EN97" s="234"/>
      <c r="EO97" s="234"/>
      <c r="EP97" s="234"/>
      <c r="EQ97" s="234"/>
    </row>
    <row r="98" spans="1:147" x14ac:dyDescent="0.25"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  <c r="AV98" s="234"/>
      <c r="AW98" s="234"/>
      <c r="AX98" s="234"/>
      <c r="AY98" s="234"/>
      <c r="AZ98" s="234"/>
      <c r="BA98" s="234"/>
      <c r="BB98" s="234"/>
      <c r="BC98" s="234"/>
      <c r="BD98" s="234"/>
      <c r="BE98" s="234"/>
      <c r="BF98" s="234"/>
      <c r="BG98" s="234"/>
      <c r="BH98" s="234"/>
      <c r="BI98" s="234"/>
      <c r="BJ98" s="234"/>
      <c r="BK98" s="234"/>
      <c r="BL98" s="234"/>
      <c r="BM98" s="234"/>
      <c r="BN98" s="234"/>
      <c r="BO98" s="234"/>
      <c r="BP98" s="234"/>
      <c r="BQ98" s="234"/>
      <c r="BR98" s="234"/>
      <c r="BS98" s="234"/>
      <c r="BT98" s="234"/>
      <c r="BU98" s="234"/>
      <c r="BV98" s="234"/>
      <c r="BW98" s="234"/>
      <c r="BX98" s="234"/>
      <c r="BY98" s="234"/>
      <c r="BZ98" s="234"/>
      <c r="CA98" s="234"/>
      <c r="CB98" s="234"/>
      <c r="CC98" s="234"/>
      <c r="CD98" s="234"/>
      <c r="CE98" s="234"/>
      <c r="CF98" s="234"/>
      <c r="CG98" s="234"/>
      <c r="CH98" s="234"/>
      <c r="CI98" s="234"/>
      <c r="CJ98" s="234"/>
      <c r="CK98" s="234"/>
      <c r="CL98" s="234"/>
      <c r="CM98" s="234"/>
      <c r="CN98" s="234"/>
      <c r="CO98" s="234"/>
      <c r="CP98" s="234"/>
      <c r="CQ98" s="234"/>
      <c r="CR98" s="234"/>
      <c r="CS98" s="234"/>
      <c r="CT98" s="234"/>
      <c r="CU98" s="234"/>
      <c r="CV98" s="234"/>
      <c r="CW98" s="234"/>
      <c r="CX98" s="234"/>
      <c r="CY98" s="234"/>
      <c r="CZ98" s="234"/>
      <c r="DA98" s="234"/>
      <c r="DB98" s="234"/>
      <c r="DC98" s="234"/>
      <c r="DD98" s="234"/>
      <c r="DE98" s="234"/>
      <c r="DF98" s="234"/>
      <c r="DG98" s="234"/>
      <c r="DH98" s="234"/>
      <c r="DI98" s="234"/>
      <c r="DJ98" s="234"/>
      <c r="DK98" s="234"/>
      <c r="DL98" s="234"/>
      <c r="DM98" s="234"/>
      <c r="DN98" s="234"/>
      <c r="DO98" s="234"/>
      <c r="DP98" s="234"/>
      <c r="DQ98" s="234"/>
      <c r="DR98" s="234"/>
      <c r="DS98" s="234"/>
      <c r="DT98" s="234"/>
      <c r="DU98" s="234"/>
      <c r="DV98" s="234"/>
      <c r="DW98" s="234"/>
      <c r="DX98" s="234"/>
      <c r="DY98" s="234"/>
      <c r="DZ98" s="234"/>
      <c r="EA98" s="234"/>
      <c r="EB98" s="234"/>
      <c r="EC98" s="234"/>
      <c r="ED98" s="234"/>
      <c r="EE98" s="234"/>
      <c r="EF98" s="234"/>
      <c r="EG98" s="234"/>
      <c r="EH98" s="234"/>
      <c r="EI98" s="234"/>
      <c r="EJ98" s="234"/>
      <c r="EK98" s="234"/>
      <c r="EL98" s="234"/>
      <c r="EM98" s="234"/>
      <c r="EN98" s="234"/>
      <c r="EO98" s="234"/>
      <c r="EP98" s="234"/>
      <c r="EQ98" s="234"/>
    </row>
    <row r="99" spans="1:147" x14ac:dyDescent="0.25">
      <c r="A99" s="218" t="s">
        <v>360</v>
      </c>
      <c r="B99" s="219"/>
      <c r="C99" s="236">
        <f>DATE(YEAR(C75)+1,MONTH(C75),DAY(C75))</f>
        <v>45017</v>
      </c>
      <c r="D99" s="237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  <c r="AV99" s="234"/>
      <c r="AW99" s="234"/>
      <c r="AX99" s="234"/>
      <c r="AY99" s="234"/>
      <c r="AZ99" s="234"/>
      <c r="BA99" s="234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/>
      <c r="BL99" s="234"/>
      <c r="BM99" s="234"/>
      <c r="BN99" s="234"/>
      <c r="BO99" s="234"/>
      <c r="BP99" s="234"/>
      <c r="BQ99" s="234"/>
      <c r="BR99" s="234"/>
      <c r="BS99" s="234"/>
      <c r="BT99" s="234"/>
      <c r="BU99" s="234"/>
      <c r="BV99" s="234"/>
      <c r="BW99" s="234"/>
      <c r="BX99" s="234"/>
      <c r="BY99" s="234"/>
      <c r="BZ99" s="234"/>
      <c r="CA99" s="234"/>
      <c r="CB99" s="234"/>
      <c r="CC99" s="234"/>
      <c r="CD99" s="234"/>
      <c r="CE99" s="234"/>
      <c r="CF99" s="234"/>
      <c r="CG99" s="234"/>
      <c r="CH99" s="234"/>
      <c r="CI99" s="234"/>
      <c r="CJ99" s="234"/>
      <c r="CK99" s="234"/>
      <c r="CL99" s="234"/>
      <c r="CM99" s="234"/>
      <c r="CN99" s="234"/>
      <c r="CO99" s="234"/>
      <c r="CP99" s="234"/>
      <c r="CQ99" s="234"/>
      <c r="CR99" s="234"/>
      <c r="CS99" s="234"/>
      <c r="CT99" s="234"/>
      <c r="CU99" s="234"/>
      <c r="CV99" s="234"/>
      <c r="CW99" s="234"/>
      <c r="CX99" s="234"/>
      <c r="CY99" s="234"/>
      <c r="CZ99" s="234"/>
      <c r="DA99" s="234"/>
      <c r="DB99" s="234"/>
      <c r="DC99" s="234"/>
      <c r="DD99" s="234"/>
      <c r="DE99" s="234"/>
      <c r="DF99" s="234"/>
      <c r="DG99" s="234"/>
      <c r="DH99" s="234"/>
      <c r="DI99" s="234"/>
      <c r="DJ99" s="234"/>
      <c r="DK99" s="234"/>
      <c r="DL99" s="234"/>
      <c r="DM99" s="234"/>
      <c r="DN99" s="234"/>
      <c r="DO99" s="234"/>
      <c r="DP99" s="234"/>
      <c r="DQ99" s="234"/>
      <c r="DR99" s="234"/>
      <c r="DS99" s="234"/>
      <c r="DT99" s="234"/>
      <c r="DU99" s="234"/>
      <c r="DV99" s="234"/>
      <c r="DW99" s="234"/>
      <c r="DX99" s="234"/>
      <c r="DY99" s="234"/>
      <c r="DZ99" s="234"/>
      <c r="EA99" s="234"/>
      <c r="EB99" s="234"/>
      <c r="EC99" s="234"/>
      <c r="ED99" s="234"/>
      <c r="EE99" s="234"/>
      <c r="EF99" s="234"/>
      <c r="EG99" s="234"/>
      <c r="EH99" s="234"/>
      <c r="EI99" s="234"/>
      <c r="EJ99" s="234"/>
      <c r="EK99" s="234"/>
      <c r="EL99" s="234"/>
      <c r="EM99" s="234"/>
      <c r="EN99" s="234"/>
      <c r="EO99" s="234"/>
      <c r="EP99" s="234"/>
      <c r="EQ99" s="234"/>
    </row>
    <row r="100" spans="1:147" x14ac:dyDescent="0.25">
      <c r="A100" s="226" t="s">
        <v>361</v>
      </c>
      <c r="B100" s="227"/>
      <c r="C100" s="228">
        <f>G8</f>
        <v>0</v>
      </c>
      <c r="D100" s="238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4"/>
      <c r="BF100" s="234"/>
      <c r="BG100" s="234"/>
      <c r="BH100" s="234"/>
      <c r="BI100" s="234"/>
      <c r="BJ100" s="234"/>
      <c r="BK100" s="234"/>
      <c r="BL100" s="234"/>
      <c r="BM100" s="234"/>
      <c r="BN100" s="234"/>
      <c r="BO100" s="234"/>
      <c r="BP100" s="234"/>
      <c r="BQ100" s="234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4"/>
      <c r="CG100" s="234"/>
      <c r="CH100" s="234"/>
      <c r="CI100" s="234"/>
      <c r="CJ100" s="234"/>
      <c r="CK100" s="234"/>
      <c r="CL100" s="234"/>
      <c r="CM100" s="234"/>
      <c r="CN100" s="234"/>
      <c r="CO100" s="234"/>
      <c r="CP100" s="234"/>
      <c r="CQ100" s="234"/>
      <c r="CR100" s="234"/>
      <c r="CS100" s="234"/>
      <c r="CT100" s="234"/>
      <c r="CU100" s="234"/>
      <c r="CV100" s="234"/>
      <c r="CW100" s="234"/>
      <c r="CX100" s="234"/>
      <c r="CY100" s="234"/>
      <c r="CZ100" s="234"/>
      <c r="DA100" s="234"/>
      <c r="DB100" s="234"/>
      <c r="DC100" s="234"/>
      <c r="DD100" s="234"/>
      <c r="DE100" s="234"/>
      <c r="DF100" s="234"/>
      <c r="DG100" s="234"/>
      <c r="DH100" s="234"/>
      <c r="DI100" s="234"/>
      <c r="DJ100" s="234"/>
      <c r="DK100" s="234"/>
      <c r="DL100" s="234"/>
      <c r="DM100" s="234"/>
      <c r="DN100" s="234"/>
      <c r="DO100" s="234"/>
      <c r="DP100" s="234"/>
      <c r="DQ100" s="234"/>
      <c r="DR100" s="234"/>
      <c r="DS100" s="234"/>
      <c r="DT100" s="234"/>
      <c r="DU100" s="234"/>
      <c r="DV100" s="234"/>
      <c r="DW100" s="234"/>
      <c r="DX100" s="234"/>
      <c r="DY100" s="234"/>
      <c r="DZ100" s="234"/>
      <c r="EA100" s="234"/>
      <c r="EB100" s="234"/>
      <c r="EC100" s="234"/>
      <c r="ED100" s="234"/>
      <c r="EE100" s="234"/>
      <c r="EF100" s="234"/>
      <c r="EG100" s="234"/>
      <c r="EH100" s="234"/>
      <c r="EI100" s="234"/>
      <c r="EJ100" s="234"/>
      <c r="EK100" s="234"/>
      <c r="EL100" s="234"/>
      <c r="EM100" s="234"/>
      <c r="EN100" s="234"/>
      <c r="EO100" s="234"/>
      <c r="EP100" s="234"/>
      <c r="EQ100" s="234"/>
    </row>
    <row r="101" spans="1:147" x14ac:dyDescent="0.25">
      <c r="A101" s="239" t="s">
        <v>362</v>
      </c>
      <c r="B101" s="240"/>
      <c r="C101" s="241">
        <v>7</v>
      </c>
      <c r="D101" s="238" t="s">
        <v>363</v>
      </c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  <c r="BI101" s="234"/>
      <c r="BJ101" s="234"/>
      <c r="BK101" s="234"/>
      <c r="BL101" s="234"/>
      <c r="BM101" s="234"/>
      <c r="BN101" s="234"/>
      <c r="BO101" s="234"/>
      <c r="BP101" s="234"/>
      <c r="BQ101" s="234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4"/>
      <c r="CG101" s="234"/>
      <c r="CH101" s="234"/>
      <c r="CI101" s="234"/>
      <c r="CJ101" s="234"/>
      <c r="CK101" s="234"/>
      <c r="CL101" s="234"/>
      <c r="CM101" s="234"/>
      <c r="CN101" s="234"/>
      <c r="CO101" s="234"/>
      <c r="CP101" s="234"/>
      <c r="CQ101" s="234"/>
      <c r="CR101" s="234"/>
      <c r="CS101" s="234"/>
      <c r="CT101" s="234"/>
      <c r="CU101" s="234"/>
      <c r="CV101" s="234"/>
      <c r="CW101" s="234"/>
      <c r="CX101" s="234"/>
      <c r="CY101" s="234"/>
      <c r="CZ101" s="234"/>
      <c r="DA101" s="234"/>
      <c r="DB101" s="234"/>
      <c r="DC101" s="234"/>
      <c r="DD101" s="234"/>
      <c r="DE101" s="234"/>
      <c r="DF101" s="234"/>
      <c r="DG101" s="234"/>
      <c r="DH101" s="234"/>
      <c r="DI101" s="234"/>
      <c r="DJ101" s="234"/>
      <c r="DK101" s="234"/>
      <c r="DL101" s="234"/>
      <c r="DM101" s="234"/>
      <c r="DN101" s="234"/>
      <c r="DO101" s="234"/>
      <c r="DP101" s="234"/>
      <c r="DQ101" s="234"/>
      <c r="DR101" s="234"/>
      <c r="DS101" s="234"/>
      <c r="DT101" s="234"/>
      <c r="DU101" s="234"/>
      <c r="DV101" s="234"/>
      <c r="DW101" s="234"/>
      <c r="DX101" s="234"/>
      <c r="DY101" s="234"/>
      <c r="DZ101" s="234"/>
      <c r="EA101" s="234"/>
      <c r="EB101" s="234"/>
      <c r="EC101" s="234"/>
      <c r="ED101" s="234"/>
      <c r="EE101" s="234"/>
      <c r="EF101" s="234"/>
      <c r="EG101" s="234"/>
      <c r="EH101" s="234"/>
      <c r="EI101" s="234"/>
      <c r="EJ101" s="234"/>
      <c r="EK101" s="234"/>
      <c r="EL101" s="234"/>
      <c r="EM101" s="234"/>
      <c r="EN101" s="234"/>
      <c r="EO101" s="234"/>
      <c r="EP101" s="234"/>
      <c r="EQ101" s="234"/>
    </row>
    <row r="102" spans="1:147" x14ac:dyDescent="0.25">
      <c r="A102" s="223"/>
      <c r="B102" s="224"/>
      <c r="C102" s="241">
        <f>C101*2</f>
        <v>14</v>
      </c>
      <c r="D102" s="238" t="s">
        <v>364</v>
      </c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234"/>
      <c r="DH102" s="234"/>
      <c r="DI102" s="234"/>
      <c r="DJ102" s="234"/>
      <c r="DK102" s="234"/>
      <c r="DL102" s="234"/>
      <c r="DM102" s="234"/>
      <c r="DN102" s="234"/>
      <c r="DO102" s="234"/>
      <c r="DP102" s="234"/>
      <c r="DQ102" s="234"/>
      <c r="DR102" s="234"/>
      <c r="DS102" s="234"/>
      <c r="DT102" s="234"/>
      <c r="DU102" s="234"/>
      <c r="DV102" s="234"/>
      <c r="DW102" s="234"/>
      <c r="DX102" s="234"/>
      <c r="DY102" s="234"/>
      <c r="DZ102" s="234"/>
      <c r="EA102" s="234"/>
      <c r="EB102" s="234"/>
      <c r="EC102" s="234"/>
      <c r="ED102" s="234"/>
      <c r="EE102" s="234"/>
      <c r="EF102" s="234"/>
      <c r="EG102" s="234"/>
      <c r="EH102" s="234"/>
      <c r="EI102" s="234"/>
      <c r="EJ102" s="234"/>
      <c r="EK102" s="234"/>
      <c r="EL102" s="234"/>
      <c r="EM102" s="234"/>
      <c r="EN102" s="234"/>
      <c r="EO102" s="234"/>
      <c r="EP102" s="234"/>
      <c r="EQ102" s="234"/>
    </row>
    <row r="103" spans="1:147" x14ac:dyDescent="0.25">
      <c r="A103" s="239" t="s">
        <v>365</v>
      </c>
      <c r="B103" s="240"/>
      <c r="C103" s="241">
        <v>0</v>
      </c>
      <c r="D103" s="238" t="s">
        <v>363</v>
      </c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  <c r="DJ103" s="234"/>
      <c r="DK103" s="234"/>
      <c r="DL103" s="234"/>
      <c r="DM103" s="234"/>
      <c r="DN103" s="234"/>
      <c r="DO103" s="234"/>
      <c r="DP103" s="234"/>
      <c r="DQ103" s="234"/>
      <c r="DR103" s="234"/>
      <c r="DS103" s="234"/>
      <c r="DT103" s="234"/>
      <c r="DU103" s="234"/>
      <c r="DV103" s="234"/>
      <c r="DW103" s="234"/>
      <c r="DX103" s="234"/>
      <c r="DY103" s="234"/>
      <c r="DZ103" s="234"/>
      <c r="EA103" s="234"/>
      <c r="EB103" s="234"/>
      <c r="EC103" s="234"/>
      <c r="ED103" s="234"/>
      <c r="EE103" s="234"/>
      <c r="EF103" s="234"/>
      <c r="EG103" s="234"/>
      <c r="EH103" s="234"/>
      <c r="EI103" s="234"/>
      <c r="EJ103" s="234"/>
      <c r="EK103" s="234"/>
      <c r="EL103" s="234"/>
      <c r="EM103" s="234"/>
      <c r="EN103" s="234"/>
      <c r="EO103" s="234"/>
      <c r="EP103" s="234"/>
      <c r="EQ103" s="234"/>
    </row>
    <row r="104" spans="1:147" x14ac:dyDescent="0.25">
      <c r="A104" s="223"/>
      <c r="B104" s="224"/>
      <c r="C104" s="241">
        <f>C103*2</f>
        <v>0</v>
      </c>
      <c r="D104" s="238" t="s">
        <v>364</v>
      </c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  <c r="BY104" s="234"/>
      <c r="BZ104" s="234"/>
      <c r="CA104" s="234"/>
      <c r="CB104" s="234"/>
      <c r="CC104" s="234"/>
      <c r="CD104" s="234"/>
      <c r="CE104" s="234"/>
      <c r="CF104" s="234"/>
      <c r="CG104" s="234"/>
      <c r="CH104" s="234"/>
      <c r="CI104" s="234"/>
      <c r="CJ104" s="234"/>
      <c r="CK104" s="234"/>
      <c r="CL104" s="234"/>
      <c r="CM104" s="234"/>
      <c r="CN104" s="234"/>
      <c r="CO104" s="234"/>
      <c r="CP104" s="234"/>
      <c r="CQ104" s="234"/>
      <c r="CR104" s="234"/>
      <c r="CS104" s="234"/>
      <c r="CT104" s="234"/>
      <c r="CU104" s="234"/>
      <c r="CV104" s="234"/>
      <c r="CW104" s="234"/>
      <c r="CX104" s="234"/>
      <c r="CY104" s="234"/>
      <c r="CZ104" s="234"/>
      <c r="DA104" s="234"/>
      <c r="DB104" s="234"/>
      <c r="DC104" s="234"/>
      <c r="DD104" s="234"/>
      <c r="DE104" s="234"/>
      <c r="DF104" s="234"/>
      <c r="DG104" s="234"/>
      <c r="DH104" s="234"/>
      <c r="DI104" s="234"/>
      <c r="DJ104" s="234"/>
      <c r="DK104" s="234"/>
      <c r="DL104" s="234"/>
      <c r="DM104" s="234"/>
      <c r="DN104" s="234"/>
      <c r="DO104" s="234"/>
      <c r="DP104" s="234"/>
      <c r="DQ104" s="234"/>
      <c r="DR104" s="234"/>
      <c r="DS104" s="234"/>
      <c r="DT104" s="234"/>
      <c r="DU104" s="234"/>
      <c r="DV104" s="234"/>
      <c r="DW104" s="234"/>
      <c r="DX104" s="234"/>
      <c r="DY104" s="234"/>
      <c r="DZ104" s="234"/>
      <c r="EA104" s="234"/>
      <c r="EB104" s="234"/>
      <c r="EC104" s="234"/>
      <c r="ED104" s="234"/>
      <c r="EE104" s="234"/>
      <c r="EF104" s="234"/>
      <c r="EG104" s="234"/>
      <c r="EH104" s="234"/>
      <c r="EI104" s="234"/>
      <c r="EJ104" s="234"/>
      <c r="EK104" s="234"/>
      <c r="EL104" s="234"/>
      <c r="EM104" s="234"/>
      <c r="EN104" s="234"/>
      <c r="EO104" s="234"/>
      <c r="EP104" s="234"/>
      <c r="EQ104" s="234"/>
    </row>
    <row r="105" spans="1:147" x14ac:dyDescent="0.25">
      <c r="A105" s="217" t="s">
        <v>366</v>
      </c>
      <c r="B105" s="242"/>
      <c r="C105" s="243">
        <f>C81</f>
        <v>0.09</v>
      </c>
      <c r="D105" s="238" t="s">
        <v>367</v>
      </c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  <c r="BY105" s="234"/>
      <c r="BZ105" s="234"/>
      <c r="CA105" s="234"/>
      <c r="CB105" s="234"/>
      <c r="CC105" s="234"/>
      <c r="CD105" s="234"/>
      <c r="CE105" s="234"/>
      <c r="CF105" s="234"/>
      <c r="CG105" s="234"/>
      <c r="CH105" s="234"/>
      <c r="CI105" s="234"/>
      <c r="CJ105" s="234"/>
      <c r="CK105" s="234"/>
      <c r="CL105" s="234"/>
      <c r="CM105" s="234"/>
      <c r="CN105" s="234"/>
      <c r="CO105" s="234"/>
      <c r="CP105" s="234"/>
      <c r="CQ105" s="234"/>
      <c r="CR105" s="234"/>
      <c r="CS105" s="234"/>
      <c r="CT105" s="234"/>
      <c r="CU105" s="234"/>
      <c r="CV105" s="234"/>
      <c r="CW105" s="234"/>
      <c r="CX105" s="234"/>
      <c r="CY105" s="234"/>
      <c r="CZ105" s="234"/>
      <c r="DA105" s="234"/>
      <c r="DB105" s="234"/>
      <c r="DC105" s="234"/>
      <c r="DD105" s="234"/>
      <c r="DE105" s="234"/>
      <c r="DF105" s="234"/>
      <c r="DG105" s="234"/>
      <c r="DH105" s="234"/>
      <c r="DI105" s="234"/>
      <c r="DJ105" s="234"/>
      <c r="DK105" s="234"/>
      <c r="DL105" s="234"/>
      <c r="DM105" s="234"/>
      <c r="DN105" s="234"/>
      <c r="DO105" s="234"/>
      <c r="DP105" s="234"/>
      <c r="DQ105" s="234"/>
      <c r="DR105" s="234"/>
      <c r="DS105" s="234"/>
      <c r="DT105" s="234"/>
      <c r="DU105" s="234"/>
      <c r="DV105" s="234"/>
      <c r="DW105" s="234"/>
      <c r="DX105" s="234"/>
      <c r="DY105" s="234"/>
      <c r="DZ105" s="234"/>
      <c r="EA105" s="234"/>
      <c r="EB105" s="234"/>
      <c r="EC105" s="234"/>
      <c r="ED105" s="234"/>
      <c r="EE105" s="234"/>
      <c r="EF105" s="234"/>
      <c r="EG105" s="234"/>
      <c r="EH105" s="234"/>
      <c r="EI105" s="234"/>
      <c r="EJ105" s="234"/>
      <c r="EK105" s="234"/>
      <c r="EL105" s="234"/>
      <c r="EM105" s="234"/>
      <c r="EN105" s="234"/>
      <c r="EO105" s="234"/>
      <c r="EP105" s="234"/>
      <c r="EQ105" s="234"/>
    </row>
    <row r="106" spans="1:147" x14ac:dyDescent="0.25">
      <c r="A106" s="217"/>
      <c r="B106" s="242"/>
      <c r="C106" s="244">
        <f>((1+C105)^(1/2))-1</f>
        <v>4.4030650891055068E-2</v>
      </c>
      <c r="D106" s="238" t="s">
        <v>368</v>
      </c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  <c r="DJ106" s="234"/>
      <c r="DK106" s="234"/>
      <c r="DL106" s="234"/>
      <c r="DM106" s="234"/>
      <c r="DN106" s="234"/>
      <c r="DO106" s="234"/>
      <c r="DP106" s="234"/>
      <c r="DQ106" s="234"/>
      <c r="DR106" s="234"/>
      <c r="DS106" s="234"/>
      <c r="DT106" s="234"/>
      <c r="DU106" s="234"/>
      <c r="DV106" s="234"/>
      <c r="DW106" s="234"/>
      <c r="DX106" s="234"/>
      <c r="DY106" s="234"/>
      <c r="DZ106" s="234"/>
      <c r="EA106" s="234"/>
      <c r="EB106" s="234"/>
      <c r="EC106" s="234"/>
      <c r="ED106" s="234"/>
      <c r="EE106" s="234"/>
      <c r="EF106" s="234"/>
      <c r="EG106" s="234"/>
      <c r="EH106" s="234"/>
      <c r="EI106" s="234"/>
      <c r="EJ106" s="234"/>
      <c r="EK106" s="234"/>
      <c r="EL106" s="234"/>
      <c r="EM106" s="234"/>
      <c r="EN106" s="234"/>
      <c r="EO106" s="234"/>
      <c r="EP106" s="234"/>
      <c r="EQ106" s="234"/>
    </row>
    <row r="107" spans="1:147" x14ac:dyDescent="0.25">
      <c r="A107" s="239" t="s">
        <v>369</v>
      </c>
      <c r="B107" s="240"/>
      <c r="C107" s="244">
        <f>C83</f>
        <v>0.09</v>
      </c>
      <c r="D107" s="238" t="s">
        <v>367</v>
      </c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  <c r="DJ107" s="234"/>
      <c r="DK107" s="234"/>
      <c r="DL107" s="234"/>
      <c r="DM107" s="234"/>
      <c r="DN107" s="234"/>
      <c r="DO107" s="234"/>
      <c r="DP107" s="234"/>
      <c r="DQ107" s="234"/>
      <c r="DR107" s="234"/>
      <c r="DS107" s="234"/>
      <c r="DT107" s="234"/>
      <c r="DU107" s="234"/>
      <c r="DV107" s="234"/>
      <c r="DW107" s="234"/>
      <c r="DX107" s="234"/>
      <c r="DY107" s="234"/>
      <c r="DZ107" s="234"/>
      <c r="EA107" s="234"/>
      <c r="EB107" s="234"/>
      <c r="EC107" s="234"/>
      <c r="ED107" s="234"/>
      <c r="EE107" s="234"/>
      <c r="EF107" s="234"/>
      <c r="EG107" s="234"/>
      <c r="EH107" s="234"/>
      <c r="EI107" s="234"/>
      <c r="EJ107" s="234"/>
      <c r="EK107" s="234"/>
      <c r="EL107" s="234"/>
      <c r="EM107" s="234"/>
      <c r="EN107" s="234"/>
      <c r="EO107" s="234"/>
      <c r="EP107" s="234"/>
      <c r="EQ107" s="234"/>
    </row>
    <row r="108" spans="1:147" x14ac:dyDescent="0.25">
      <c r="A108" s="223"/>
      <c r="B108" s="224"/>
      <c r="C108" s="244">
        <f>((1+C107)^(1/2))-1</f>
        <v>4.4030650891055068E-2</v>
      </c>
      <c r="D108" s="238" t="s">
        <v>368</v>
      </c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  <c r="DJ108" s="234"/>
      <c r="DK108" s="234"/>
      <c r="DL108" s="234"/>
      <c r="DM108" s="234"/>
      <c r="DN108" s="234"/>
      <c r="DO108" s="234"/>
      <c r="DP108" s="234"/>
      <c r="DQ108" s="234"/>
      <c r="DR108" s="234"/>
      <c r="DS108" s="234"/>
      <c r="DT108" s="234"/>
      <c r="DU108" s="234"/>
      <c r="DV108" s="234"/>
      <c r="DW108" s="234"/>
      <c r="DX108" s="234"/>
      <c r="DY108" s="234"/>
      <c r="DZ108" s="234"/>
      <c r="EA108" s="234"/>
      <c r="EB108" s="234"/>
      <c r="EC108" s="234"/>
      <c r="ED108" s="234"/>
      <c r="EE108" s="234"/>
      <c r="EF108" s="234"/>
      <c r="EG108" s="234"/>
      <c r="EH108" s="234"/>
      <c r="EI108" s="234"/>
      <c r="EJ108" s="234"/>
      <c r="EK108" s="234"/>
      <c r="EL108" s="234"/>
      <c r="EM108" s="234"/>
      <c r="EN108" s="234"/>
      <c r="EO108" s="234"/>
      <c r="EP108" s="234"/>
      <c r="EQ108" s="234"/>
    </row>
    <row r="109" spans="1:147" x14ac:dyDescent="0.25">
      <c r="A109" s="226" t="s">
        <v>370</v>
      </c>
      <c r="B109" s="227"/>
      <c r="C109" s="245">
        <f>SUMIF(111:111,C102,113:113)</f>
        <v>47574</v>
      </c>
      <c r="D109" s="238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46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  <c r="DJ109" s="234"/>
      <c r="DK109" s="234"/>
      <c r="DL109" s="234"/>
      <c r="DM109" s="234"/>
      <c r="DN109" s="234"/>
      <c r="DO109" s="234"/>
      <c r="DP109" s="234"/>
      <c r="DQ109" s="234"/>
      <c r="DR109" s="234"/>
      <c r="DS109" s="234"/>
      <c r="DT109" s="234"/>
      <c r="DU109" s="234"/>
      <c r="DV109" s="234"/>
      <c r="DW109" s="234"/>
      <c r="DX109" s="234"/>
      <c r="DY109" s="234"/>
      <c r="DZ109" s="234"/>
      <c r="EA109" s="234"/>
      <c r="EB109" s="234"/>
      <c r="EC109" s="234"/>
      <c r="ED109" s="234"/>
      <c r="EE109" s="234"/>
      <c r="EF109" s="234"/>
      <c r="EG109" s="234"/>
      <c r="EH109" s="234"/>
      <c r="EI109" s="234"/>
      <c r="EJ109" s="234"/>
      <c r="EK109" s="234"/>
      <c r="EL109" s="234"/>
      <c r="EM109" s="234"/>
      <c r="EN109" s="234"/>
      <c r="EO109" s="234"/>
      <c r="EP109" s="234"/>
      <c r="EQ109" s="234"/>
    </row>
    <row r="110" spans="1:147" x14ac:dyDescent="0.25">
      <c r="A110" s="230" t="s">
        <v>371</v>
      </c>
      <c r="B110" s="231"/>
      <c r="C110" s="247">
        <f>C86</f>
        <v>5.0000000000000001E-3</v>
      </c>
      <c r="D110" s="248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  <c r="DJ110" s="234"/>
      <c r="DK110" s="234"/>
      <c r="DL110" s="234"/>
      <c r="DM110" s="234"/>
      <c r="DN110" s="234"/>
      <c r="DO110" s="234"/>
      <c r="DP110" s="234"/>
      <c r="DQ110" s="234"/>
      <c r="DR110" s="234"/>
      <c r="DS110" s="234"/>
      <c r="DT110" s="234"/>
      <c r="DU110" s="234"/>
      <c r="DV110" s="234"/>
      <c r="DW110" s="234"/>
      <c r="DX110" s="234"/>
      <c r="DY110" s="234"/>
      <c r="DZ110" s="234"/>
      <c r="EA110" s="234"/>
      <c r="EB110" s="234"/>
      <c r="EC110" s="234"/>
      <c r="ED110" s="234"/>
      <c r="EE110" s="234"/>
      <c r="EF110" s="234"/>
      <c r="EG110" s="234"/>
      <c r="EH110" s="234"/>
      <c r="EI110" s="234"/>
      <c r="EJ110" s="234"/>
      <c r="EK110" s="234"/>
      <c r="EL110" s="234"/>
      <c r="EM110" s="234"/>
      <c r="EN110" s="234"/>
      <c r="EO110" s="234"/>
      <c r="EP110" s="234"/>
      <c r="EQ110" s="234"/>
    </row>
    <row r="111" spans="1:147" x14ac:dyDescent="0.25">
      <c r="C111" s="249"/>
      <c r="D111" s="234"/>
      <c r="E111" s="234"/>
      <c r="F111" s="234"/>
      <c r="G111" s="18">
        <f t="shared" ref="G111:R111" si="105">IF(G114=DATE(YEAR($C$27),MONTH($C$27)+6,DAY($C$27)),1,IF(AND(A111&gt;0,A111&lt;$C102,G114&gt;=DATE(YEAR($C$27),MONTH($C$27)+6,DAY($C$27)-1)),A111+1,0))+IF(AND(G113=DATE(YEAR($C99),MONTH($C99)+6,DAY($C99))),1,0)</f>
        <v>0</v>
      </c>
      <c r="H111" s="18">
        <f t="shared" si="105"/>
        <v>0</v>
      </c>
      <c r="I111" s="18">
        <f t="shared" si="105"/>
        <v>0</v>
      </c>
      <c r="J111" s="18">
        <f t="shared" si="105"/>
        <v>0</v>
      </c>
      <c r="K111" s="18">
        <f t="shared" si="105"/>
        <v>0</v>
      </c>
      <c r="L111" s="18">
        <f t="shared" si="105"/>
        <v>0</v>
      </c>
      <c r="M111" s="18">
        <f t="shared" si="105"/>
        <v>0</v>
      </c>
      <c r="N111" s="18">
        <f t="shared" si="105"/>
        <v>0</v>
      </c>
      <c r="O111" s="18">
        <f t="shared" si="105"/>
        <v>0</v>
      </c>
      <c r="P111" s="18">
        <f t="shared" si="105"/>
        <v>0</v>
      </c>
      <c r="Q111" s="18">
        <f t="shared" si="105"/>
        <v>0</v>
      </c>
      <c r="R111" s="18">
        <f t="shared" si="105"/>
        <v>0</v>
      </c>
      <c r="S111" s="18">
        <f>IF(S114=DATE(YEAR($C$27),MONTH($C$27)+6,DAY($C$27)),1,IF(AND(M111&gt;0,M111&lt;$C102,S114&gt;=DATE(YEAR($C$27),MONTH($C$27)+6,DAY($C$27)-1)),M111+1,0))+IF(AND(S113=DATE(YEAR($C99),MONTH($C99)+6,DAY($C99))),1,0)</f>
        <v>0</v>
      </c>
      <c r="T111" s="18">
        <f t="shared" ref="T111:CE111" si="106">IF(T114=DATE(YEAR($C$27),MONTH($C$27)+6,DAY($C$27)),1,IF(AND(N111&gt;0,N111&lt;$C102,T114&gt;=DATE(YEAR($C$27),MONTH($C$27)+6,DAY($C$27)-1)),N111+1,0))+IF(AND(T113=DATE(YEAR($C99),MONTH($C99)+6,DAY($C99))),1,0)</f>
        <v>0</v>
      </c>
      <c r="U111" s="18">
        <f t="shared" si="106"/>
        <v>0</v>
      </c>
      <c r="V111" s="18">
        <f t="shared" si="106"/>
        <v>0</v>
      </c>
      <c r="W111" s="18">
        <f t="shared" si="106"/>
        <v>0</v>
      </c>
      <c r="X111" s="18">
        <f t="shared" si="106"/>
        <v>0</v>
      </c>
      <c r="Y111" s="18">
        <f t="shared" si="106"/>
        <v>0</v>
      </c>
      <c r="Z111" s="18">
        <f t="shared" si="106"/>
        <v>0</v>
      </c>
      <c r="AA111" s="18">
        <f t="shared" si="106"/>
        <v>0</v>
      </c>
      <c r="AB111" s="18">
        <f t="shared" si="106"/>
        <v>0</v>
      </c>
      <c r="AC111" s="18">
        <f t="shared" si="106"/>
        <v>0</v>
      </c>
      <c r="AD111" s="18">
        <f t="shared" si="106"/>
        <v>0</v>
      </c>
      <c r="AE111" s="18">
        <f t="shared" si="106"/>
        <v>0</v>
      </c>
      <c r="AF111" s="18">
        <f t="shared" si="106"/>
        <v>0</v>
      </c>
      <c r="AG111" s="18">
        <f t="shared" si="106"/>
        <v>0</v>
      </c>
      <c r="AH111" s="18">
        <f t="shared" si="106"/>
        <v>0</v>
      </c>
      <c r="AI111" s="18">
        <f t="shared" si="106"/>
        <v>0</v>
      </c>
      <c r="AJ111" s="18">
        <f t="shared" si="106"/>
        <v>0</v>
      </c>
      <c r="AK111" s="18">
        <f t="shared" si="106"/>
        <v>0</v>
      </c>
      <c r="AL111" s="18">
        <f t="shared" si="106"/>
        <v>0</v>
      </c>
      <c r="AM111" s="18">
        <f t="shared" si="106"/>
        <v>0</v>
      </c>
      <c r="AN111" s="18">
        <f t="shared" si="106"/>
        <v>0</v>
      </c>
      <c r="AO111" s="18">
        <f t="shared" si="106"/>
        <v>0</v>
      </c>
      <c r="AP111" s="18">
        <f t="shared" si="106"/>
        <v>0</v>
      </c>
      <c r="AQ111" s="18">
        <f t="shared" si="106"/>
        <v>0</v>
      </c>
      <c r="AR111" s="18">
        <f t="shared" si="106"/>
        <v>0</v>
      </c>
      <c r="AS111" s="18">
        <f t="shared" si="106"/>
        <v>0</v>
      </c>
      <c r="AT111" s="18">
        <f t="shared" si="106"/>
        <v>0</v>
      </c>
      <c r="AU111" s="18">
        <f t="shared" si="106"/>
        <v>0</v>
      </c>
      <c r="AV111" s="18">
        <f t="shared" si="106"/>
        <v>0</v>
      </c>
      <c r="AW111" s="18">
        <f t="shared" si="106"/>
        <v>1</v>
      </c>
      <c r="AX111" s="18">
        <f t="shared" si="106"/>
        <v>0</v>
      </c>
      <c r="AY111" s="18">
        <f t="shared" si="106"/>
        <v>0</v>
      </c>
      <c r="AZ111" s="18">
        <f t="shared" si="106"/>
        <v>0</v>
      </c>
      <c r="BA111" s="18">
        <f t="shared" si="106"/>
        <v>0</v>
      </c>
      <c r="BB111" s="18">
        <f t="shared" si="106"/>
        <v>0</v>
      </c>
      <c r="BC111" s="18">
        <f t="shared" si="106"/>
        <v>2</v>
      </c>
      <c r="BD111" s="18">
        <f t="shared" si="106"/>
        <v>0</v>
      </c>
      <c r="BE111" s="18">
        <f t="shared" si="106"/>
        <v>0</v>
      </c>
      <c r="BF111" s="18">
        <f t="shared" si="106"/>
        <v>0</v>
      </c>
      <c r="BG111" s="18">
        <f t="shared" si="106"/>
        <v>0</v>
      </c>
      <c r="BH111" s="18">
        <f t="shared" si="106"/>
        <v>0</v>
      </c>
      <c r="BI111" s="18">
        <f t="shared" si="106"/>
        <v>3</v>
      </c>
      <c r="BJ111" s="18">
        <f t="shared" si="106"/>
        <v>0</v>
      </c>
      <c r="BK111" s="18">
        <f t="shared" si="106"/>
        <v>0</v>
      </c>
      <c r="BL111" s="18">
        <f t="shared" si="106"/>
        <v>0</v>
      </c>
      <c r="BM111" s="18">
        <f t="shared" si="106"/>
        <v>0</v>
      </c>
      <c r="BN111" s="18">
        <f t="shared" si="106"/>
        <v>0</v>
      </c>
      <c r="BO111" s="18">
        <f t="shared" si="106"/>
        <v>4</v>
      </c>
      <c r="BP111" s="18">
        <f t="shared" si="106"/>
        <v>0</v>
      </c>
      <c r="BQ111" s="18">
        <f t="shared" si="106"/>
        <v>0</v>
      </c>
      <c r="BR111" s="18">
        <f t="shared" si="106"/>
        <v>0</v>
      </c>
      <c r="BS111" s="18">
        <f t="shared" si="106"/>
        <v>0</v>
      </c>
      <c r="BT111" s="18">
        <f t="shared" si="106"/>
        <v>0</v>
      </c>
      <c r="BU111" s="18">
        <f t="shared" si="106"/>
        <v>5</v>
      </c>
      <c r="BV111" s="18">
        <f t="shared" si="106"/>
        <v>0</v>
      </c>
      <c r="BW111" s="18">
        <f t="shared" si="106"/>
        <v>0</v>
      </c>
      <c r="BX111" s="18">
        <f t="shared" si="106"/>
        <v>0</v>
      </c>
      <c r="BY111" s="18">
        <f t="shared" si="106"/>
        <v>0</v>
      </c>
      <c r="BZ111" s="18">
        <f t="shared" si="106"/>
        <v>0</v>
      </c>
      <c r="CA111" s="18">
        <f t="shared" si="106"/>
        <v>6</v>
      </c>
      <c r="CB111" s="18">
        <f t="shared" si="106"/>
        <v>0</v>
      </c>
      <c r="CC111" s="18">
        <f t="shared" si="106"/>
        <v>0</v>
      </c>
      <c r="CD111" s="18">
        <f t="shared" si="106"/>
        <v>0</v>
      </c>
      <c r="CE111" s="18">
        <f t="shared" si="106"/>
        <v>0</v>
      </c>
      <c r="CF111" s="18">
        <f t="shared" ref="CF111:EQ111" si="107">IF(CF114=DATE(YEAR($C$27),MONTH($C$27)+6,DAY($C$27)),1,IF(AND(BZ111&gt;0,BZ111&lt;$C102,CF114&gt;=DATE(YEAR($C$27),MONTH($C$27)+6,DAY($C$27)-1)),BZ111+1,0))+IF(AND(CF113=DATE(YEAR($C99),MONTH($C99)+6,DAY($C99))),1,0)</f>
        <v>0</v>
      </c>
      <c r="CG111" s="18">
        <f t="shared" si="107"/>
        <v>7</v>
      </c>
      <c r="CH111" s="18">
        <f t="shared" si="107"/>
        <v>0</v>
      </c>
      <c r="CI111" s="18">
        <f t="shared" si="107"/>
        <v>0</v>
      </c>
      <c r="CJ111" s="18">
        <f t="shared" si="107"/>
        <v>0</v>
      </c>
      <c r="CK111" s="18">
        <f t="shared" si="107"/>
        <v>0</v>
      </c>
      <c r="CL111" s="18">
        <f t="shared" si="107"/>
        <v>0</v>
      </c>
      <c r="CM111" s="18">
        <f t="shared" si="107"/>
        <v>8</v>
      </c>
      <c r="CN111" s="18">
        <f t="shared" si="107"/>
        <v>0</v>
      </c>
      <c r="CO111" s="18">
        <f t="shared" si="107"/>
        <v>0</v>
      </c>
      <c r="CP111" s="18">
        <f t="shared" si="107"/>
        <v>0</v>
      </c>
      <c r="CQ111" s="18">
        <f t="shared" si="107"/>
        <v>0</v>
      </c>
      <c r="CR111" s="18">
        <f t="shared" si="107"/>
        <v>0</v>
      </c>
      <c r="CS111" s="18">
        <f t="shared" si="107"/>
        <v>9</v>
      </c>
      <c r="CT111" s="18">
        <f t="shared" si="107"/>
        <v>0</v>
      </c>
      <c r="CU111" s="18">
        <f t="shared" si="107"/>
        <v>0</v>
      </c>
      <c r="CV111" s="18">
        <f t="shared" si="107"/>
        <v>0</v>
      </c>
      <c r="CW111" s="18">
        <f t="shared" si="107"/>
        <v>0</v>
      </c>
      <c r="CX111" s="18">
        <f t="shared" si="107"/>
        <v>0</v>
      </c>
      <c r="CY111" s="18">
        <f t="shared" si="107"/>
        <v>10</v>
      </c>
      <c r="CZ111" s="18">
        <f t="shared" si="107"/>
        <v>0</v>
      </c>
      <c r="DA111" s="18">
        <f t="shared" si="107"/>
        <v>0</v>
      </c>
      <c r="DB111" s="18">
        <f t="shared" si="107"/>
        <v>0</v>
      </c>
      <c r="DC111" s="18">
        <f t="shared" si="107"/>
        <v>0</v>
      </c>
      <c r="DD111" s="18">
        <f t="shared" si="107"/>
        <v>0</v>
      </c>
      <c r="DE111" s="18">
        <f t="shared" si="107"/>
        <v>11</v>
      </c>
      <c r="DF111" s="18">
        <f t="shared" si="107"/>
        <v>0</v>
      </c>
      <c r="DG111" s="18">
        <f t="shared" si="107"/>
        <v>0</v>
      </c>
      <c r="DH111" s="18">
        <f t="shared" si="107"/>
        <v>0</v>
      </c>
      <c r="DI111" s="18">
        <f t="shared" si="107"/>
        <v>0</v>
      </c>
      <c r="DJ111" s="18">
        <f t="shared" si="107"/>
        <v>0</v>
      </c>
      <c r="DK111" s="18">
        <f t="shared" si="107"/>
        <v>12</v>
      </c>
      <c r="DL111" s="18">
        <f t="shared" si="107"/>
        <v>0</v>
      </c>
      <c r="DM111" s="18">
        <f t="shared" si="107"/>
        <v>0</v>
      </c>
      <c r="DN111" s="18">
        <f t="shared" si="107"/>
        <v>0</v>
      </c>
      <c r="DO111" s="18">
        <f t="shared" si="107"/>
        <v>0</v>
      </c>
      <c r="DP111" s="18">
        <f t="shared" si="107"/>
        <v>0</v>
      </c>
      <c r="DQ111" s="18">
        <f t="shared" si="107"/>
        <v>13</v>
      </c>
      <c r="DR111" s="18">
        <f t="shared" si="107"/>
        <v>0</v>
      </c>
      <c r="DS111" s="18">
        <f t="shared" si="107"/>
        <v>0</v>
      </c>
      <c r="DT111" s="18">
        <f t="shared" si="107"/>
        <v>0</v>
      </c>
      <c r="DU111" s="18">
        <f t="shared" si="107"/>
        <v>0</v>
      </c>
      <c r="DV111" s="18">
        <f t="shared" si="107"/>
        <v>0</v>
      </c>
      <c r="DW111" s="18">
        <f t="shared" si="107"/>
        <v>14</v>
      </c>
      <c r="DX111" s="18">
        <f t="shared" si="107"/>
        <v>0</v>
      </c>
      <c r="DY111" s="18">
        <f t="shared" si="107"/>
        <v>0</v>
      </c>
      <c r="DZ111" s="18">
        <f t="shared" si="107"/>
        <v>0</v>
      </c>
      <c r="EA111" s="18">
        <f t="shared" si="107"/>
        <v>0</v>
      </c>
      <c r="EB111" s="18">
        <f t="shared" si="107"/>
        <v>0</v>
      </c>
      <c r="EC111" s="18">
        <f t="shared" si="107"/>
        <v>0</v>
      </c>
      <c r="ED111" s="18">
        <f t="shared" si="107"/>
        <v>0</v>
      </c>
      <c r="EE111" s="18">
        <f t="shared" si="107"/>
        <v>0</v>
      </c>
      <c r="EF111" s="18">
        <f t="shared" si="107"/>
        <v>0</v>
      </c>
      <c r="EG111" s="18">
        <f t="shared" si="107"/>
        <v>0</v>
      </c>
      <c r="EH111" s="18">
        <f t="shared" si="107"/>
        <v>0</v>
      </c>
      <c r="EI111" s="18">
        <f t="shared" si="107"/>
        <v>0</v>
      </c>
      <c r="EJ111" s="18">
        <f t="shared" si="107"/>
        <v>0</v>
      </c>
      <c r="EK111" s="18">
        <f t="shared" si="107"/>
        <v>0</v>
      </c>
      <c r="EL111" s="18">
        <f t="shared" si="107"/>
        <v>0</v>
      </c>
      <c r="EM111" s="18">
        <f t="shared" si="107"/>
        <v>0</v>
      </c>
      <c r="EN111" s="18">
        <f t="shared" si="107"/>
        <v>0</v>
      </c>
      <c r="EO111" s="18">
        <f t="shared" si="107"/>
        <v>0</v>
      </c>
      <c r="EP111" s="18">
        <f t="shared" si="107"/>
        <v>0</v>
      </c>
      <c r="EQ111" s="18">
        <f t="shared" si="107"/>
        <v>0</v>
      </c>
    </row>
    <row r="112" spans="1:147" ht="15.75" x14ac:dyDescent="0.25">
      <c r="A112" s="380" t="s">
        <v>281</v>
      </c>
      <c r="B112" s="274"/>
      <c r="C112" s="383" t="s">
        <v>45</v>
      </c>
      <c r="D112" s="266">
        <v>2020</v>
      </c>
      <c r="E112" s="267">
        <v>2020</v>
      </c>
      <c r="F112" s="267">
        <v>2020</v>
      </c>
      <c r="G112" s="267">
        <v>2020</v>
      </c>
      <c r="H112" s="267">
        <v>2020</v>
      </c>
      <c r="I112" s="267">
        <v>2020</v>
      </c>
      <c r="J112" s="267">
        <v>2020</v>
      </c>
      <c r="K112" s="267">
        <v>2020</v>
      </c>
      <c r="L112" s="267">
        <v>2020</v>
      </c>
      <c r="M112" s="267">
        <v>2020</v>
      </c>
      <c r="N112" s="267">
        <v>2020</v>
      </c>
      <c r="O112" s="267">
        <v>2020</v>
      </c>
      <c r="P112" s="267">
        <f>O112+1</f>
        <v>2021</v>
      </c>
      <c r="Q112" s="267">
        <f t="shared" ref="Q112:AA112" si="108">P112</f>
        <v>2021</v>
      </c>
      <c r="R112" s="267">
        <f t="shared" si="108"/>
        <v>2021</v>
      </c>
      <c r="S112" s="267">
        <f t="shared" si="108"/>
        <v>2021</v>
      </c>
      <c r="T112" s="267">
        <f t="shared" si="108"/>
        <v>2021</v>
      </c>
      <c r="U112" s="267">
        <f t="shared" si="108"/>
        <v>2021</v>
      </c>
      <c r="V112" s="267">
        <f t="shared" si="108"/>
        <v>2021</v>
      </c>
      <c r="W112" s="267">
        <f t="shared" si="108"/>
        <v>2021</v>
      </c>
      <c r="X112" s="267">
        <f t="shared" si="108"/>
        <v>2021</v>
      </c>
      <c r="Y112" s="267">
        <f t="shared" si="108"/>
        <v>2021</v>
      </c>
      <c r="Z112" s="267">
        <f t="shared" si="108"/>
        <v>2021</v>
      </c>
      <c r="AA112" s="267">
        <f t="shared" si="108"/>
        <v>2021</v>
      </c>
      <c r="AB112" s="267">
        <f>AA112+1</f>
        <v>2022</v>
      </c>
      <c r="AC112" s="267">
        <f t="shared" ref="AC112:AM112" si="109">AB112</f>
        <v>2022</v>
      </c>
      <c r="AD112" s="267">
        <f t="shared" si="109"/>
        <v>2022</v>
      </c>
      <c r="AE112" s="267">
        <f t="shared" si="109"/>
        <v>2022</v>
      </c>
      <c r="AF112" s="267">
        <f t="shared" si="109"/>
        <v>2022</v>
      </c>
      <c r="AG112" s="267">
        <f t="shared" si="109"/>
        <v>2022</v>
      </c>
      <c r="AH112" s="267">
        <f t="shared" si="109"/>
        <v>2022</v>
      </c>
      <c r="AI112" s="267">
        <f t="shared" si="109"/>
        <v>2022</v>
      </c>
      <c r="AJ112" s="267">
        <f t="shared" si="109"/>
        <v>2022</v>
      </c>
      <c r="AK112" s="267">
        <f t="shared" si="109"/>
        <v>2022</v>
      </c>
      <c r="AL112" s="267">
        <f t="shared" si="109"/>
        <v>2022</v>
      </c>
      <c r="AM112" s="267">
        <f t="shared" si="109"/>
        <v>2022</v>
      </c>
      <c r="AN112" s="267">
        <f>AM112+1</f>
        <v>2023</v>
      </c>
      <c r="AO112" s="267">
        <f t="shared" ref="AO112:AY112" si="110">AN112</f>
        <v>2023</v>
      </c>
      <c r="AP112" s="267">
        <f t="shared" si="110"/>
        <v>2023</v>
      </c>
      <c r="AQ112" s="267">
        <f t="shared" si="110"/>
        <v>2023</v>
      </c>
      <c r="AR112" s="267">
        <f t="shared" si="110"/>
        <v>2023</v>
      </c>
      <c r="AS112" s="267">
        <f t="shared" si="110"/>
        <v>2023</v>
      </c>
      <c r="AT112" s="267">
        <f t="shared" si="110"/>
        <v>2023</v>
      </c>
      <c r="AU112" s="267">
        <f t="shared" si="110"/>
        <v>2023</v>
      </c>
      <c r="AV112" s="267">
        <f t="shared" si="110"/>
        <v>2023</v>
      </c>
      <c r="AW112" s="267">
        <f t="shared" si="110"/>
        <v>2023</v>
      </c>
      <c r="AX112" s="267">
        <f t="shared" si="110"/>
        <v>2023</v>
      </c>
      <c r="AY112" s="267">
        <f t="shared" si="110"/>
        <v>2023</v>
      </c>
      <c r="AZ112" s="267">
        <f>AY112+1</f>
        <v>2024</v>
      </c>
      <c r="BA112" s="267">
        <f t="shared" ref="BA112:BK112" si="111">AZ112</f>
        <v>2024</v>
      </c>
      <c r="BB112" s="267">
        <f t="shared" si="111"/>
        <v>2024</v>
      </c>
      <c r="BC112" s="267">
        <f t="shared" si="111"/>
        <v>2024</v>
      </c>
      <c r="BD112" s="267">
        <f t="shared" si="111"/>
        <v>2024</v>
      </c>
      <c r="BE112" s="267">
        <f t="shared" si="111"/>
        <v>2024</v>
      </c>
      <c r="BF112" s="267">
        <f t="shared" si="111"/>
        <v>2024</v>
      </c>
      <c r="BG112" s="267">
        <f t="shared" si="111"/>
        <v>2024</v>
      </c>
      <c r="BH112" s="267">
        <f t="shared" si="111"/>
        <v>2024</v>
      </c>
      <c r="BI112" s="267">
        <f t="shared" si="111"/>
        <v>2024</v>
      </c>
      <c r="BJ112" s="267">
        <f t="shared" si="111"/>
        <v>2024</v>
      </c>
      <c r="BK112" s="267">
        <f t="shared" si="111"/>
        <v>2024</v>
      </c>
      <c r="BL112" s="267">
        <f>BK112+1</f>
        <v>2025</v>
      </c>
      <c r="BM112" s="267">
        <f t="shared" ref="BM112:BW112" si="112">BL112</f>
        <v>2025</v>
      </c>
      <c r="BN112" s="267">
        <f t="shared" si="112"/>
        <v>2025</v>
      </c>
      <c r="BO112" s="267">
        <f t="shared" si="112"/>
        <v>2025</v>
      </c>
      <c r="BP112" s="267">
        <f t="shared" si="112"/>
        <v>2025</v>
      </c>
      <c r="BQ112" s="267">
        <f t="shared" si="112"/>
        <v>2025</v>
      </c>
      <c r="BR112" s="267">
        <f t="shared" si="112"/>
        <v>2025</v>
      </c>
      <c r="BS112" s="267">
        <f t="shared" si="112"/>
        <v>2025</v>
      </c>
      <c r="BT112" s="267">
        <f t="shared" si="112"/>
        <v>2025</v>
      </c>
      <c r="BU112" s="267">
        <f t="shared" si="112"/>
        <v>2025</v>
      </c>
      <c r="BV112" s="267">
        <f t="shared" si="112"/>
        <v>2025</v>
      </c>
      <c r="BW112" s="267">
        <f t="shared" si="112"/>
        <v>2025</v>
      </c>
      <c r="BX112" s="267">
        <f>BW112+1</f>
        <v>2026</v>
      </c>
      <c r="BY112" s="267">
        <f t="shared" ref="BY112:CI112" si="113">BX112</f>
        <v>2026</v>
      </c>
      <c r="BZ112" s="267">
        <f t="shared" si="113"/>
        <v>2026</v>
      </c>
      <c r="CA112" s="267">
        <f t="shared" si="113"/>
        <v>2026</v>
      </c>
      <c r="CB112" s="267">
        <f t="shared" si="113"/>
        <v>2026</v>
      </c>
      <c r="CC112" s="267">
        <f t="shared" si="113"/>
        <v>2026</v>
      </c>
      <c r="CD112" s="267">
        <f t="shared" si="113"/>
        <v>2026</v>
      </c>
      <c r="CE112" s="267">
        <f t="shared" si="113"/>
        <v>2026</v>
      </c>
      <c r="CF112" s="267">
        <f t="shared" si="113"/>
        <v>2026</v>
      </c>
      <c r="CG112" s="267">
        <f t="shared" si="113"/>
        <v>2026</v>
      </c>
      <c r="CH112" s="267">
        <f t="shared" si="113"/>
        <v>2026</v>
      </c>
      <c r="CI112" s="267">
        <f t="shared" si="113"/>
        <v>2026</v>
      </c>
      <c r="CJ112" s="267">
        <f>CI112+1</f>
        <v>2027</v>
      </c>
      <c r="CK112" s="267">
        <f t="shared" ref="CK112:CU112" si="114">CJ112</f>
        <v>2027</v>
      </c>
      <c r="CL112" s="267">
        <f t="shared" si="114"/>
        <v>2027</v>
      </c>
      <c r="CM112" s="267">
        <f t="shared" si="114"/>
        <v>2027</v>
      </c>
      <c r="CN112" s="267">
        <f t="shared" si="114"/>
        <v>2027</v>
      </c>
      <c r="CO112" s="267">
        <f t="shared" si="114"/>
        <v>2027</v>
      </c>
      <c r="CP112" s="267">
        <f t="shared" si="114"/>
        <v>2027</v>
      </c>
      <c r="CQ112" s="267">
        <f t="shared" si="114"/>
        <v>2027</v>
      </c>
      <c r="CR112" s="267">
        <f t="shared" si="114"/>
        <v>2027</v>
      </c>
      <c r="CS112" s="267">
        <f t="shared" si="114"/>
        <v>2027</v>
      </c>
      <c r="CT112" s="267">
        <f t="shared" si="114"/>
        <v>2027</v>
      </c>
      <c r="CU112" s="267">
        <f t="shared" si="114"/>
        <v>2027</v>
      </c>
      <c r="CV112" s="267">
        <f>CU112+1</f>
        <v>2028</v>
      </c>
      <c r="CW112" s="267">
        <f t="shared" ref="CW112:DG112" si="115">CV112</f>
        <v>2028</v>
      </c>
      <c r="CX112" s="267">
        <f t="shared" si="115"/>
        <v>2028</v>
      </c>
      <c r="CY112" s="267">
        <f t="shared" si="115"/>
        <v>2028</v>
      </c>
      <c r="CZ112" s="267">
        <f t="shared" si="115"/>
        <v>2028</v>
      </c>
      <c r="DA112" s="267">
        <f t="shared" si="115"/>
        <v>2028</v>
      </c>
      <c r="DB112" s="267">
        <f t="shared" si="115"/>
        <v>2028</v>
      </c>
      <c r="DC112" s="267">
        <f t="shared" si="115"/>
        <v>2028</v>
      </c>
      <c r="DD112" s="267">
        <f t="shared" si="115"/>
        <v>2028</v>
      </c>
      <c r="DE112" s="267">
        <f t="shared" si="115"/>
        <v>2028</v>
      </c>
      <c r="DF112" s="267">
        <f t="shared" si="115"/>
        <v>2028</v>
      </c>
      <c r="DG112" s="267">
        <f t="shared" si="115"/>
        <v>2028</v>
      </c>
      <c r="DH112" s="267">
        <f>DG112+1</f>
        <v>2029</v>
      </c>
      <c r="DI112" s="267">
        <f t="shared" ref="DI112:DS112" si="116">DH112</f>
        <v>2029</v>
      </c>
      <c r="DJ112" s="267">
        <f t="shared" si="116"/>
        <v>2029</v>
      </c>
      <c r="DK112" s="267">
        <f t="shared" si="116"/>
        <v>2029</v>
      </c>
      <c r="DL112" s="267">
        <f t="shared" si="116"/>
        <v>2029</v>
      </c>
      <c r="DM112" s="267">
        <f t="shared" si="116"/>
        <v>2029</v>
      </c>
      <c r="DN112" s="267">
        <f t="shared" si="116"/>
        <v>2029</v>
      </c>
      <c r="DO112" s="267">
        <f t="shared" si="116"/>
        <v>2029</v>
      </c>
      <c r="DP112" s="267">
        <f t="shared" si="116"/>
        <v>2029</v>
      </c>
      <c r="DQ112" s="267">
        <f t="shared" si="116"/>
        <v>2029</v>
      </c>
      <c r="DR112" s="267">
        <f t="shared" si="116"/>
        <v>2029</v>
      </c>
      <c r="DS112" s="267">
        <f t="shared" si="116"/>
        <v>2029</v>
      </c>
      <c r="DT112" s="267">
        <f>DS112+1</f>
        <v>2030</v>
      </c>
      <c r="DU112" s="267">
        <f t="shared" ref="DU112:EE112" si="117">DT112</f>
        <v>2030</v>
      </c>
      <c r="DV112" s="267">
        <f t="shared" si="117"/>
        <v>2030</v>
      </c>
      <c r="DW112" s="267">
        <f t="shared" si="117"/>
        <v>2030</v>
      </c>
      <c r="DX112" s="267">
        <f t="shared" si="117"/>
        <v>2030</v>
      </c>
      <c r="DY112" s="267">
        <f t="shared" si="117"/>
        <v>2030</v>
      </c>
      <c r="DZ112" s="267">
        <f t="shared" si="117"/>
        <v>2030</v>
      </c>
      <c r="EA112" s="267">
        <f t="shared" si="117"/>
        <v>2030</v>
      </c>
      <c r="EB112" s="267">
        <f t="shared" si="117"/>
        <v>2030</v>
      </c>
      <c r="EC112" s="267">
        <f t="shared" si="117"/>
        <v>2030</v>
      </c>
      <c r="ED112" s="267">
        <f t="shared" si="117"/>
        <v>2030</v>
      </c>
      <c r="EE112" s="267">
        <f t="shared" si="117"/>
        <v>2030</v>
      </c>
      <c r="EF112" s="267">
        <f>EE112+1</f>
        <v>2031</v>
      </c>
      <c r="EG112" s="267">
        <f t="shared" ref="EG112:EQ112" si="118">EF112</f>
        <v>2031</v>
      </c>
      <c r="EH112" s="267">
        <f t="shared" si="118"/>
        <v>2031</v>
      </c>
      <c r="EI112" s="267">
        <f t="shared" si="118"/>
        <v>2031</v>
      </c>
      <c r="EJ112" s="267">
        <f t="shared" si="118"/>
        <v>2031</v>
      </c>
      <c r="EK112" s="267">
        <f t="shared" si="118"/>
        <v>2031</v>
      </c>
      <c r="EL112" s="267">
        <f t="shared" si="118"/>
        <v>2031</v>
      </c>
      <c r="EM112" s="267">
        <f t="shared" si="118"/>
        <v>2031</v>
      </c>
      <c r="EN112" s="267">
        <f t="shared" si="118"/>
        <v>2031</v>
      </c>
      <c r="EO112" s="267">
        <f t="shared" si="118"/>
        <v>2031</v>
      </c>
      <c r="EP112" s="267">
        <f t="shared" si="118"/>
        <v>2031</v>
      </c>
      <c r="EQ112" s="268">
        <f t="shared" si="118"/>
        <v>2031</v>
      </c>
    </row>
    <row r="113" spans="1:147" ht="15.75" x14ac:dyDescent="0.25">
      <c r="A113" s="381"/>
      <c r="B113" s="275"/>
      <c r="C113" s="384"/>
      <c r="D113" s="269">
        <f>DATE(D112,1,1)</f>
        <v>43831</v>
      </c>
      <c r="E113" s="270">
        <f>DATE(E112,2,1)</f>
        <v>43862</v>
      </c>
      <c r="F113" s="270">
        <f>DATE(F112,3,1)</f>
        <v>43891</v>
      </c>
      <c r="G113" s="270">
        <f>DATE(G112,4,1)</f>
        <v>43922</v>
      </c>
      <c r="H113" s="270">
        <f>DATE(H112,5,1)</f>
        <v>43952</v>
      </c>
      <c r="I113" s="270">
        <f>DATE(I112,6,1)</f>
        <v>43983</v>
      </c>
      <c r="J113" s="270">
        <f>DATE(J112,7,1)</f>
        <v>44013</v>
      </c>
      <c r="K113" s="270">
        <f>DATE(K112,8,1)</f>
        <v>44044</v>
      </c>
      <c r="L113" s="270">
        <f>DATE(L112,9,1)</f>
        <v>44075</v>
      </c>
      <c r="M113" s="270">
        <f>DATE(M112,10,1)</f>
        <v>44105</v>
      </c>
      <c r="N113" s="270">
        <f>DATE(N112,11,1)</f>
        <v>44136</v>
      </c>
      <c r="O113" s="270">
        <f>DATE(O112,12,1)</f>
        <v>44166</v>
      </c>
      <c r="P113" s="270">
        <f>DATE(P112,1,1)</f>
        <v>44197</v>
      </c>
      <c r="Q113" s="270">
        <f>DATE(Q112,2,1)</f>
        <v>44228</v>
      </c>
      <c r="R113" s="270">
        <f>DATE(R112,3,1)</f>
        <v>44256</v>
      </c>
      <c r="S113" s="270">
        <f>DATE(S112,4,1)</f>
        <v>44287</v>
      </c>
      <c r="T113" s="270">
        <f>DATE(T112,5,1)</f>
        <v>44317</v>
      </c>
      <c r="U113" s="270">
        <f>DATE(U112,6,1)</f>
        <v>44348</v>
      </c>
      <c r="V113" s="270">
        <f>DATE(V112,7,1)</f>
        <v>44378</v>
      </c>
      <c r="W113" s="270">
        <f>DATE(W112,8,1)</f>
        <v>44409</v>
      </c>
      <c r="X113" s="270">
        <f>DATE(X112,9,1)</f>
        <v>44440</v>
      </c>
      <c r="Y113" s="270">
        <f>DATE(Y112,10,1)</f>
        <v>44470</v>
      </c>
      <c r="Z113" s="270">
        <f>DATE(Z112,11,1)</f>
        <v>44501</v>
      </c>
      <c r="AA113" s="270">
        <f>DATE(AA112,12,1)</f>
        <v>44531</v>
      </c>
      <c r="AB113" s="270">
        <f>DATE(AB112,1,1)</f>
        <v>44562</v>
      </c>
      <c r="AC113" s="270">
        <f>DATE(AC112,2,1)</f>
        <v>44593</v>
      </c>
      <c r="AD113" s="270">
        <f>DATE(AD112,3,1)</f>
        <v>44621</v>
      </c>
      <c r="AE113" s="270">
        <f>DATE(AE112,4,1)</f>
        <v>44652</v>
      </c>
      <c r="AF113" s="270">
        <f>DATE(AF112,5,1)</f>
        <v>44682</v>
      </c>
      <c r="AG113" s="270">
        <f>DATE(AG112,6,1)</f>
        <v>44713</v>
      </c>
      <c r="AH113" s="270">
        <f>DATE(AH112,7,1)</f>
        <v>44743</v>
      </c>
      <c r="AI113" s="270">
        <f>DATE(AI112,8,1)</f>
        <v>44774</v>
      </c>
      <c r="AJ113" s="270">
        <f>DATE(AJ112,9,1)</f>
        <v>44805</v>
      </c>
      <c r="AK113" s="270">
        <f>DATE(AK112,10,1)</f>
        <v>44835</v>
      </c>
      <c r="AL113" s="270">
        <f>DATE(AL112,11,1)</f>
        <v>44866</v>
      </c>
      <c r="AM113" s="270">
        <f>DATE(AM112,12,1)</f>
        <v>44896</v>
      </c>
      <c r="AN113" s="270">
        <f>DATE(AN112,1,1)</f>
        <v>44927</v>
      </c>
      <c r="AO113" s="270">
        <f>DATE(AO112,2,1)</f>
        <v>44958</v>
      </c>
      <c r="AP113" s="270">
        <f>DATE(AP112,3,1)</f>
        <v>44986</v>
      </c>
      <c r="AQ113" s="270">
        <f>DATE(AQ112,4,1)</f>
        <v>45017</v>
      </c>
      <c r="AR113" s="270">
        <f>DATE(AR112,5,1)</f>
        <v>45047</v>
      </c>
      <c r="AS113" s="270">
        <f>DATE(AS112,6,1)</f>
        <v>45078</v>
      </c>
      <c r="AT113" s="270">
        <f>DATE(AT112,7,1)</f>
        <v>45108</v>
      </c>
      <c r="AU113" s="270">
        <f>DATE(AU112,8,1)</f>
        <v>45139</v>
      </c>
      <c r="AV113" s="270">
        <f>DATE(AV112,9,1)</f>
        <v>45170</v>
      </c>
      <c r="AW113" s="270">
        <f>DATE(AW112,10,1)</f>
        <v>45200</v>
      </c>
      <c r="AX113" s="270">
        <f>DATE(AX112,11,1)</f>
        <v>45231</v>
      </c>
      <c r="AY113" s="270">
        <f>DATE(AY112,12,1)</f>
        <v>45261</v>
      </c>
      <c r="AZ113" s="270">
        <f>DATE(AZ112,1,1)</f>
        <v>45292</v>
      </c>
      <c r="BA113" s="270">
        <f>DATE(BA112,2,1)</f>
        <v>45323</v>
      </c>
      <c r="BB113" s="270">
        <f>DATE(BB112,3,1)</f>
        <v>45352</v>
      </c>
      <c r="BC113" s="270">
        <f>DATE(BC112,4,1)</f>
        <v>45383</v>
      </c>
      <c r="BD113" s="270">
        <f>DATE(BD112,5,1)</f>
        <v>45413</v>
      </c>
      <c r="BE113" s="270">
        <f>DATE(BE112,6,1)</f>
        <v>45444</v>
      </c>
      <c r="BF113" s="270">
        <f>DATE(BF112,7,1)</f>
        <v>45474</v>
      </c>
      <c r="BG113" s="270">
        <f>DATE(BG112,8,1)</f>
        <v>45505</v>
      </c>
      <c r="BH113" s="270">
        <f>DATE(BH112,9,1)</f>
        <v>45536</v>
      </c>
      <c r="BI113" s="270">
        <f>DATE(BI112,10,1)</f>
        <v>45566</v>
      </c>
      <c r="BJ113" s="270">
        <f>DATE(BJ112,11,1)</f>
        <v>45597</v>
      </c>
      <c r="BK113" s="270">
        <f>DATE(BK112,12,1)</f>
        <v>45627</v>
      </c>
      <c r="BL113" s="270">
        <f>DATE(BL112,1,1)</f>
        <v>45658</v>
      </c>
      <c r="BM113" s="270">
        <f>DATE(BM112,2,1)</f>
        <v>45689</v>
      </c>
      <c r="BN113" s="270">
        <f>DATE(BN112,3,1)</f>
        <v>45717</v>
      </c>
      <c r="BO113" s="270">
        <f>DATE(BO112,4,1)</f>
        <v>45748</v>
      </c>
      <c r="BP113" s="270">
        <f>DATE(BP112,5,1)</f>
        <v>45778</v>
      </c>
      <c r="BQ113" s="270">
        <f>DATE(BQ112,6,1)</f>
        <v>45809</v>
      </c>
      <c r="BR113" s="270">
        <f>DATE(BR112,7,1)</f>
        <v>45839</v>
      </c>
      <c r="BS113" s="270">
        <f>DATE(BS112,8,1)</f>
        <v>45870</v>
      </c>
      <c r="BT113" s="270">
        <f>DATE(BT112,9,1)</f>
        <v>45901</v>
      </c>
      <c r="BU113" s="270">
        <f>DATE(BU112,10,1)</f>
        <v>45931</v>
      </c>
      <c r="BV113" s="270">
        <f>DATE(BV112,11,1)</f>
        <v>45962</v>
      </c>
      <c r="BW113" s="270">
        <f>DATE(BW112,12,1)</f>
        <v>45992</v>
      </c>
      <c r="BX113" s="270">
        <f>DATE(BX112,1,1)</f>
        <v>46023</v>
      </c>
      <c r="BY113" s="270">
        <f>DATE(BY112,2,1)</f>
        <v>46054</v>
      </c>
      <c r="BZ113" s="270">
        <f>DATE(BZ112,3,1)</f>
        <v>46082</v>
      </c>
      <c r="CA113" s="270">
        <f>DATE(CA112,4,1)</f>
        <v>46113</v>
      </c>
      <c r="CB113" s="270">
        <f>DATE(CB112,5,1)</f>
        <v>46143</v>
      </c>
      <c r="CC113" s="270">
        <f>DATE(CC112,6,1)</f>
        <v>46174</v>
      </c>
      <c r="CD113" s="270">
        <f>DATE(CD112,7,1)</f>
        <v>46204</v>
      </c>
      <c r="CE113" s="270">
        <f>DATE(CE112,8,1)</f>
        <v>46235</v>
      </c>
      <c r="CF113" s="270">
        <f>DATE(CF112,9,1)</f>
        <v>46266</v>
      </c>
      <c r="CG113" s="270">
        <f>DATE(CG112,10,1)</f>
        <v>46296</v>
      </c>
      <c r="CH113" s="270">
        <f>DATE(CH112,11,1)</f>
        <v>46327</v>
      </c>
      <c r="CI113" s="270">
        <f>DATE(CI112,12,1)</f>
        <v>46357</v>
      </c>
      <c r="CJ113" s="270">
        <f>DATE(CJ112,1,1)</f>
        <v>46388</v>
      </c>
      <c r="CK113" s="270">
        <f>DATE(CK112,2,1)</f>
        <v>46419</v>
      </c>
      <c r="CL113" s="270">
        <f>DATE(CL112,3,1)</f>
        <v>46447</v>
      </c>
      <c r="CM113" s="270">
        <f>DATE(CM112,4,1)</f>
        <v>46478</v>
      </c>
      <c r="CN113" s="270">
        <f>DATE(CN112,5,1)</f>
        <v>46508</v>
      </c>
      <c r="CO113" s="270">
        <f>DATE(CO112,6,1)</f>
        <v>46539</v>
      </c>
      <c r="CP113" s="270">
        <f>DATE(CP112,7,1)</f>
        <v>46569</v>
      </c>
      <c r="CQ113" s="270">
        <f>DATE(CQ112,8,1)</f>
        <v>46600</v>
      </c>
      <c r="CR113" s="270">
        <f>DATE(CR112,9,1)</f>
        <v>46631</v>
      </c>
      <c r="CS113" s="270">
        <f>DATE(CS112,10,1)</f>
        <v>46661</v>
      </c>
      <c r="CT113" s="270">
        <f>DATE(CT112,11,1)</f>
        <v>46692</v>
      </c>
      <c r="CU113" s="270">
        <f>DATE(CU112,12,1)</f>
        <v>46722</v>
      </c>
      <c r="CV113" s="270">
        <f>DATE(CV112,1,1)</f>
        <v>46753</v>
      </c>
      <c r="CW113" s="270">
        <f>DATE(CW112,2,1)</f>
        <v>46784</v>
      </c>
      <c r="CX113" s="270">
        <f>DATE(CX112,3,1)</f>
        <v>46813</v>
      </c>
      <c r="CY113" s="270">
        <f>DATE(CY112,4,1)</f>
        <v>46844</v>
      </c>
      <c r="CZ113" s="270">
        <f>DATE(CZ112,5,1)</f>
        <v>46874</v>
      </c>
      <c r="DA113" s="270">
        <f>DATE(DA112,6,1)</f>
        <v>46905</v>
      </c>
      <c r="DB113" s="270">
        <f>DATE(DB112,7,1)</f>
        <v>46935</v>
      </c>
      <c r="DC113" s="270">
        <f>DATE(DC112,8,1)</f>
        <v>46966</v>
      </c>
      <c r="DD113" s="270">
        <f>DATE(DD112,9,1)</f>
        <v>46997</v>
      </c>
      <c r="DE113" s="270">
        <f>DATE(DE112,10,1)</f>
        <v>47027</v>
      </c>
      <c r="DF113" s="270">
        <f>DATE(DF112,11,1)</f>
        <v>47058</v>
      </c>
      <c r="DG113" s="270">
        <f>DATE(DG112,12,1)</f>
        <v>47088</v>
      </c>
      <c r="DH113" s="270">
        <f>DATE(DH112,1,1)</f>
        <v>47119</v>
      </c>
      <c r="DI113" s="270">
        <f>DATE(DI112,2,1)</f>
        <v>47150</v>
      </c>
      <c r="DJ113" s="270">
        <f>DATE(DJ112,3,1)</f>
        <v>47178</v>
      </c>
      <c r="DK113" s="270">
        <f>DATE(DK112,4,1)</f>
        <v>47209</v>
      </c>
      <c r="DL113" s="270">
        <f>DATE(DL112,5,1)</f>
        <v>47239</v>
      </c>
      <c r="DM113" s="270">
        <f>DATE(DM112,6,1)</f>
        <v>47270</v>
      </c>
      <c r="DN113" s="270">
        <f>DATE(DN112,7,1)</f>
        <v>47300</v>
      </c>
      <c r="DO113" s="270">
        <f>DATE(DO112,8,1)</f>
        <v>47331</v>
      </c>
      <c r="DP113" s="270">
        <f>DATE(DP112,9,1)</f>
        <v>47362</v>
      </c>
      <c r="DQ113" s="270">
        <f>DATE(DQ112,10,1)</f>
        <v>47392</v>
      </c>
      <c r="DR113" s="270">
        <f>DATE(DR112,11,1)</f>
        <v>47423</v>
      </c>
      <c r="DS113" s="270">
        <f>DATE(DS112,12,1)</f>
        <v>47453</v>
      </c>
      <c r="DT113" s="270">
        <f>DATE(DT112,1,1)</f>
        <v>47484</v>
      </c>
      <c r="DU113" s="270">
        <f>DATE(DU112,2,1)</f>
        <v>47515</v>
      </c>
      <c r="DV113" s="270">
        <f>DATE(DV112,3,1)</f>
        <v>47543</v>
      </c>
      <c r="DW113" s="270">
        <f>DATE(DW112,4,1)</f>
        <v>47574</v>
      </c>
      <c r="DX113" s="270">
        <f>DATE(DX112,5,1)</f>
        <v>47604</v>
      </c>
      <c r="DY113" s="270">
        <f>DATE(DY112,6,1)</f>
        <v>47635</v>
      </c>
      <c r="DZ113" s="270">
        <f>DATE(DZ112,7,1)</f>
        <v>47665</v>
      </c>
      <c r="EA113" s="270">
        <f>DATE(EA112,8,1)</f>
        <v>47696</v>
      </c>
      <c r="EB113" s="270">
        <f>DATE(EB112,9,1)</f>
        <v>47727</v>
      </c>
      <c r="EC113" s="270">
        <f>DATE(EC112,10,1)</f>
        <v>47757</v>
      </c>
      <c r="ED113" s="270">
        <f>DATE(ED112,11,1)</f>
        <v>47788</v>
      </c>
      <c r="EE113" s="270">
        <f>DATE(EE112,12,1)</f>
        <v>47818</v>
      </c>
      <c r="EF113" s="270">
        <f>DATE(EF112,1,1)</f>
        <v>47849</v>
      </c>
      <c r="EG113" s="270">
        <f>DATE(EG112,2,1)</f>
        <v>47880</v>
      </c>
      <c r="EH113" s="270">
        <f>DATE(EH112,3,1)</f>
        <v>47908</v>
      </c>
      <c r="EI113" s="270">
        <f>DATE(EI112,4,1)</f>
        <v>47939</v>
      </c>
      <c r="EJ113" s="270">
        <f>DATE(EJ112,5,1)</f>
        <v>47969</v>
      </c>
      <c r="EK113" s="270">
        <f>DATE(EK112,6,1)</f>
        <v>48000</v>
      </c>
      <c r="EL113" s="270">
        <f>DATE(EL112,7,1)</f>
        <v>48030</v>
      </c>
      <c r="EM113" s="270">
        <f>DATE(EM112,8,1)</f>
        <v>48061</v>
      </c>
      <c r="EN113" s="270">
        <f>DATE(EN112,9,1)</f>
        <v>48092</v>
      </c>
      <c r="EO113" s="270">
        <f>DATE(EO112,10,1)</f>
        <v>48122</v>
      </c>
      <c r="EP113" s="270">
        <f>DATE(EP112,11,1)</f>
        <v>48153</v>
      </c>
      <c r="EQ113" s="271">
        <f>DATE(EQ112,12,1)</f>
        <v>48183</v>
      </c>
    </row>
    <row r="114" spans="1:147" ht="15.75" x14ac:dyDescent="0.25">
      <c r="A114" s="382"/>
      <c r="B114" s="276"/>
      <c r="C114" s="385"/>
      <c r="D114" s="272">
        <f>DATE(D112,1,31)</f>
        <v>43861</v>
      </c>
      <c r="E114" s="272">
        <f>DATE(E112,2,29)</f>
        <v>43890</v>
      </c>
      <c r="F114" s="272">
        <f>DATE(F112,3,31)</f>
        <v>43921</v>
      </c>
      <c r="G114" s="272">
        <f>DATE(G112,4,30)</f>
        <v>43951</v>
      </c>
      <c r="H114" s="272">
        <f>DATE(H112,5,31)</f>
        <v>43982</v>
      </c>
      <c r="I114" s="272">
        <f>DATE(I112,6,30)</f>
        <v>44012</v>
      </c>
      <c r="J114" s="272">
        <f>DATE(J112,7,31)</f>
        <v>44043</v>
      </c>
      <c r="K114" s="272">
        <f>DATE(K112,8,31)</f>
        <v>44074</v>
      </c>
      <c r="L114" s="272">
        <f>DATE(L112,9,30)</f>
        <v>44104</v>
      </c>
      <c r="M114" s="272">
        <f>DATE(M112,10,31)</f>
        <v>44135</v>
      </c>
      <c r="N114" s="272">
        <f>DATE(N112,11,30)</f>
        <v>44165</v>
      </c>
      <c r="O114" s="272">
        <f>DATE(O112,12,31)</f>
        <v>44196</v>
      </c>
      <c r="P114" s="272">
        <f>DATE(P112,1,31)</f>
        <v>44227</v>
      </c>
      <c r="Q114" s="272">
        <f>DATE(Q112,2,28)</f>
        <v>44255</v>
      </c>
      <c r="R114" s="272">
        <f>DATE(R112,3,31)</f>
        <v>44286</v>
      </c>
      <c r="S114" s="272">
        <f>DATE(S112,4,30)</f>
        <v>44316</v>
      </c>
      <c r="T114" s="272">
        <f>DATE(T112,5,31)</f>
        <v>44347</v>
      </c>
      <c r="U114" s="272">
        <f>DATE(U112,6,30)</f>
        <v>44377</v>
      </c>
      <c r="V114" s="272">
        <f>DATE(V112,7,31)</f>
        <v>44408</v>
      </c>
      <c r="W114" s="272">
        <f>DATE(W112,8,31)</f>
        <v>44439</v>
      </c>
      <c r="X114" s="272">
        <f>DATE(X112,9,30)</f>
        <v>44469</v>
      </c>
      <c r="Y114" s="272">
        <f>DATE(Y112,10,31)</f>
        <v>44500</v>
      </c>
      <c r="Z114" s="272">
        <f>DATE(Z112,11,30)</f>
        <v>44530</v>
      </c>
      <c r="AA114" s="272">
        <f>DATE(AA112,12,31)</f>
        <v>44561</v>
      </c>
      <c r="AB114" s="272">
        <f>DATE(AB112,1,31)</f>
        <v>44592</v>
      </c>
      <c r="AC114" s="272">
        <f>DATE(AC112,2,28)</f>
        <v>44620</v>
      </c>
      <c r="AD114" s="272">
        <f>DATE(AD112,3,31)</f>
        <v>44651</v>
      </c>
      <c r="AE114" s="272">
        <f>DATE(AE112,4,30)</f>
        <v>44681</v>
      </c>
      <c r="AF114" s="272">
        <f>DATE(AF112,5,31)</f>
        <v>44712</v>
      </c>
      <c r="AG114" s="272">
        <f>DATE(AG112,6,30)</f>
        <v>44742</v>
      </c>
      <c r="AH114" s="272">
        <f>DATE(AH112,7,31)</f>
        <v>44773</v>
      </c>
      <c r="AI114" s="272">
        <f>DATE(AI112,8,31)</f>
        <v>44804</v>
      </c>
      <c r="AJ114" s="272">
        <f>DATE(AJ112,9,30)</f>
        <v>44834</v>
      </c>
      <c r="AK114" s="272">
        <f>DATE(AK112,10,31)</f>
        <v>44865</v>
      </c>
      <c r="AL114" s="272">
        <f>DATE(AL112,11,30)</f>
        <v>44895</v>
      </c>
      <c r="AM114" s="272">
        <f>DATE(AM112,12,31)</f>
        <v>44926</v>
      </c>
      <c r="AN114" s="272">
        <f>DATE(AN112,1,31)</f>
        <v>44957</v>
      </c>
      <c r="AO114" s="272">
        <f>DATE(AO112,2,28)</f>
        <v>44985</v>
      </c>
      <c r="AP114" s="272">
        <f>DATE(AP112,3,31)</f>
        <v>45016</v>
      </c>
      <c r="AQ114" s="272">
        <f>DATE(AQ112,4,30)</f>
        <v>45046</v>
      </c>
      <c r="AR114" s="272">
        <f>DATE(AR112,5,31)</f>
        <v>45077</v>
      </c>
      <c r="AS114" s="272">
        <f>DATE(AS112,6,30)</f>
        <v>45107</v>
      </c>
      <c r="AT114" s="272">
        <f>DATE(AT112,7,31)</f>
        <v>45138</v>
      </c>
      <c r="AU114" s="272">
        <f>DATE(AU112,8,31)</f>
        <v>45169</v>
      </c>
      <c r="AV114" s="272">
        <f>DATE(AV112,9,30)</f>
        <v>45199</v>
      </c>
      <c r="AW114" s="272">
        <f>DATE(AW112,10,31)</f>
        <v>45230</v>
      </c>
      <c r="AX114" s="272">
        <f>DATE(AX112,11,30)</f>
        <v>45260</v>
      </c>
      <c r="AY114" s="272">
        <f>DATE(AY112,12,31)</f>
        <v>45291</v>
      </c>
      <c r="AZ114" s="272">
        <f>DATE(AZ112,1,31)</f>
        <v>45322</v>
      </c>
      <c r="BA114" s="272">
        <f>DATE(BA112,2,29)</f>
        <v>45351</v>
      </c>
      <c r="BB114" s="272">
        <f>DATE(BB112,3,31)</f>
        <v>45382</v>
      </c>
      <c r="BC114" s="272">
        <f>DATE(BC112,4,30)</f>
        <v>45412</v>
      </c>
      <c r="BD114" s="272">
        <f>DATE(BD112,5,31)</f>
        <v>45443</v>
      </c>
      <c r="BE114" s="272">
        <f>DATE(BE112,6,30)</f>
        <v>45473</v>
      </c>
      <c r="BF114" s="272">
        <f>DATE(BF112,7,31)</f>
        <v>45504</v>
      </c>
      <c r="BG114" s="272">
        <f>DATE(BG112,8,31)</f>
        <v>45535</v>
      </c>
      <c r="BH114" s="272">
        <f>DATE(BH112,9,30)</f>
        <v>45565</v>
      </c>
      <c r="BI114" s="272">
        <f>DATE(BI112,10,31)</f>
        <v>45596</v>
      </c>
      <c r="BJ114" s="272">
        <f>DATE(BJ112,11,30)</f>
        <v>45626</v>
      </c>
      <c r="BK114" s="272">
        <f>DATE(BK112,12,31)</f>
        <v>45657</v>
      </c>
      <c r="BL114" s="272">
        <f>DATE(BL112,1,31)</f>
        <v>45688</v>
      </c>
      <c r="BM114" s="272">
        <f>DATE(BM112,2,28)</f>
        <v>45716</v>
      </c>
      <c r="BN114" s="272">
        <f>DATE(BN112,3,31)</f>
        <v>45747</v>
      </c>
      <c r="BO114" s="272">
        <f>DATE(BO112,4,30)</f>
        <v>45777</v>
      </c>
      <c r="BP114" s="272">
        <f>DATE(BP112,5,31)</f>
        <v>45808</v>
      </c>
      <c r="BQ114" s="272">
        <f>DATE(BQ112,6,30)</f>
        <v>45838</v>
      </c>
      <c r="BR114" s="272">
        <f>DATE(BR112,7,31)</f>
        <v>45869</v>
      </c>
      <c r="BS114" s="272">
        <f>DATE(BS112,8,31)</f>
        <v>45900</v>
      </c>
      <c r="BT114" s="272">
        <f>DATE(BT112,9,30)</f>
        <v>45930</v>
      </c>
      <c r="BU114" s="272">
        <f>DATE(BU112,10,31)</f>
        <v>45961</v>
      </c>
      <c r="BV114" s="272">
        <f>DATE(BV112,11,30)</f>
        <v>45991</v>
      </c>
      <c r="BW114" s="272">
        <f>DATE(BW112,12,31)</f>
        <v>46022</v>
      </c>
      <c r="BX114" s="272">
        <f>DATE(BX112,1,31)</f>
        <v>46053</v>
      </c>
      <c r="BY114" s="272">
        <f>DATE(BY112,2,28)</f>
        <v>46081</v>
      </c>
      <c r="BZ114" s="272">
        <f>DATE(BZ112,3,31)</f>
        <v>46112</v>
      </c>
      <c r="CA114" s="272">
        <f>DATE(CA112,4,30)</f>
        <v>46142</v>
      </c>
      <c r="CB114" s="272">
        <f>DATE(CB112,5,31)</f>
        <v>46173</v>
      </c>
      <c r="CC114" s="272">
        <f>DATE(CC112,6,30)</f>
        <v>46203</v>
      </c>
      <c r="CD114" s="272">
        <f>DATE(CD112,7,31)</f>
        <v>46234</v>
      </c>
      <c r="CE114" s="272">
        <f>DATE(CE112,8,31)</f>
        <v>46265</v>
      </c>
      <c r="CF114" s="272">
        <f>DATE(CF112,9,30)</f>
        <v>46295</v>
      </c>
      <c r="CG114" s="272">
        <f>DATE(CG112,10,31)</f>
        <v>46326</v>
      </c>
      <c r="CH114" s="272">
        <f>DATE(CH112,11,30)</f>
        <v>46356</v>
      </c>
      <c r="CI114" s="272">
        <f>DATE(CI112,12,31)</f>
        <v>46387</v>
      </c>
      <c r="CJ114" s="272">
        <f>DATE(CJ112,1,31)</f>
        <v>46418</v>
      </c>
      <c r="CK114" s="272">
        <f>DATE(CK112,2,28)</f>
        <v>46446</v>
      </c>
      <c r="CL114" s="272">
        <f>DATE(CL112,3,31)</f>
        <v>46477</v>
      </c>
      <c r="CM114" s="272">
        <f>DATE(CM112,4,30)</f>
        <v>46507</v>
      </c>
      <c r="CN114" s="272">
        <f>DATE(CN112,5,31)</f>
        <v>46538</v>
      </c>
      <c r="CO114" s="272">
        <f>DATE(CO112,6,30)</f>
        <v>46568</v>
      </c>
      <c r="CP114" s="272">
        <f>DATE(CP112,7,31)</f>
        <v>46599</v>
      </c>
      <c r="CQ114" s="272">
        <f>DATE(CQ112,8,31)</f>
        <v>46630</v>
      </c>
      <c r="CR114" s="272">
        <f>DATE(CR112,9,30)</f>
        <v>46660</v>
      </c>
      <c r="CS114" s="272">
        <f>DATE(CS112,10,31)</f>
        <v>46691</v>
      </c>
      <c r="CT114" s="272">
        <f>DATE(CT112,11,30)</f>
        <v>46721</v>
      </c>
      <c r="CU114" s="272">
        <f>DATE(CU112,12,31)</f>
        <v>46752</v>
      </c>
      <c r="CV114" s="272">
        <f>DATE(CV112,1,31)</f>
        <v>46783</v>
      </c>
      <c r="CW114" s="272">
        <f>DATE(CW112,2,29)</f>
        <v>46812</v>
      </c>
      <c r="CX114" s="272">
        <f>DATE(CX112,3,31)</f>
        <v>46843</v>
      </c>
      <c r="CY114" s="272">
        <f>DATE(CY112,4,30)</f>
        <v>46873</v>
      </c>
      <c r="CZ114" s="272">
        <f>DATE(CZ112,5,31)</f>
        <v>46904</v>
      </c>
      <c r="DA114" s="272">
        <f>DATE(DA112,6,30)</f>
        <v>46934</v>
      </c>
      <c r="DB114" s="272">
        <f>DATE(DB112,7,31)</f>
        <v>46965</v>
      </c>
      <c r="DC114" s="272">
        <f>DATE(DC112,8,31)</f>
        <v>46996</v>
      </c>
      <c r="DD114" s="272">
        <f>DATE(DD112,9,30)</f>
        <v>47026</v>
      </c>
      <c r="DE114" s="272">
        <f>DATE(DE112,10,31)</f>
        <v>47057</v>
      </c>
      <c r="DF114" s="272">
        <f>DATE(DF112,11,30)</f>
        <v>47087</v>
      </c>
      <c r="DG114" s="272">
        <f>DATE(DG112,12,31)</f>
        <v>47118</v>
      </c>
      <c r="DH114" s="272">
        <f>DATE(DH112,1,31)</f>
        <v>47149</v>
      </c>
      <c r="DI114" s="272">
        <f>DATE(DI112,2,28)</f>
        <v>47177</v>
      </c>
      <c r="DJ114" s="272">
        <f>DATE(DJ112,3,31)</f>
        <v>47208</v>
      </c>
      <c r="DK114" s="272">
        <f>DATE(DK112,4,30)</f>
        <v>47238</v>
      </c>
      <c r="DL114" s="272">
        <f>DATE(DL112,5,31)</f>
        <v>47269</v>
      </c>
      <c r="DM114" s="272">
        <f>DATE(DM112,6,30)</f>
        <v>47299</v>
      </c>
      <c r="DN114" s="272">
        <f>DATE(DN112,7,31)</f>
        <v>47330</v>
      </c>
      <c r="DO114" s="272">
        <f>DATE(DO112,8,31)</f>
        <v>47361</v>
      </c>
      <c r="DP114" s="272">
        <f>DATE(DP112,9,30)</f>
        <v>47391</v>
      </c>
      <c r="DQ114" s="272">
        <f>DATE(DQ112,10,31)</f>
        <v>47422</v>
      </c>
      <c r="DR114" s="272">
        <f>DATE(DR112,11,30)</f>
        <v>47452</v>
      </c>
      <c r="DS114" s="272">
        <f>DATE(DS112,12,31)</f>
        <v>47483</v>
      </c>
      <c r="DT114" s="272">
        <f>DATE(DT112,1,31)</f>
        <v>47514</v>
      </c>
      <c r="DU114" s="272">
        <f>DATE(DU112,2,28)</f>
        <v>47542</v>
      </c>
      <c r="DV114" s="272">
        <f>DATE(DV112,3,31)</f>
        <v>47573</v>
      </c>
      <c r="DW114" s="272">
        <f>DATE(DW112,4,30)</f>
        <v>47603</v>
      </c>
      <c r="DX114" s="272">
        <f>DATE(DX112,5,31)</f>
        <v>47634</v>
      </c>
      <c r="DY114" s="272">
        <f>DATE(DY112,6,30)</f>
        <v>47664</v>
      </c>
      <c r="DZ114" s="272">
        <f>DATE(DZ112,7,31)</f>
        <v>47695</v>
      </c>
      <c r="EA114" s="272">
        <f>DATE(EA112,8,31)</f>
        <v>47726</v>
      </c>
      <c r="EB114" s="272">
        <f>DATE(EB112,9,30)</f>
        <v>47756</v>
      </c>
      <c r="EC114" s="272">
        <f>DATE(EC112,10,31)</f>
        <v>47787</v>
      </c>
      <c r="ED114" s="272">
        <f>DATE(ED112,11,30)</f>
        <v>47817</v>
      </c>
      <c r="EE114" s="272">
        <f>DATE(EE112,12,31)</f>
        <v>47848</v>
      </c>
      <c r="EF114" s="272">
        <f>DATE(EF112,1,31)</f>
        <v>47879</v>
      </c>
      <c r="EG114" s="272">
        <f>DATE(EG112,2,28)</f>
        <v>47907</v>
      </c>
      <c r="EH114" s="272">
        <f>DATE(EH112,3,31)</f>
        <v>47938</v>
      </c>
      <c r="EI114" s="272">
        <f>DATE(EI112,4,30)</f>
        <v>47968</v>
      </c>
      <c r="EJ114" s="272">
        <f>DATE(EJ112,5,31)</f>
        <v>47999</v>
      </c>
      <c r="EK114" s="272">
        <f>DATE(EK112,6,30)</f>
        <v>48029</v>
      </c>
      <c r="EL114" s="272">
        <f>DATE(EL112,7,31)</f>
        <v>48060</v>
      </c>
      <c r="EM114" s="272">
        <f>DATE(EM112,8,31)</f>
        <v>48091</v>
      </c>
      <c r="EN114" s="272">
        <f>DATE(EN112,9,30)</f>
        <v>48121</v>
      </c>
      <c r="EO114" s="272">
        <f>DATE(EO112,10,31)</f>
        <v>48152</v>
      </c>
      <c r="EP114" s="272">
        <f>DATE(EP112,11,30)</f>
        <v>48182</v>
      </c>
      <c r="EQ114" s="273">
        <f>DATE(EQ112,12,31)</f>
        <v>48213</v>
      </c>
    </row>
    <row r="115" spans="1:147" x14ac:dyDescent="0.25">
      <c r="A115" s="218" t="s">
        <v>353</v>
      </c>
      <c r="B115" s="219"/>
      <c r="C115" s="221">
        <f>SUM(D115:EQ115)</f>
        <v>0</v>
      </c>
      <c r="D115" s="221">
        <f t="shared" ref="D115:BA115" si="119">IF(AND(D111&gt;0,OR(J111&gt;1,J111=0),D114&gt;=DATE(YEAR($B$41)+1,MONTH($B$41),DAY($B$41))),PPMT($C108,D111,$C102,-$C100),0)</f>
        <v>0</v>
      </c>
      <c r="E115" s="221">
        <f t="shared" si="119"/>
        <v>0</v>
      </c>
      <c r="F115" s="221">
        <f t="shared" si="119"/>
        <v>0</v>
      </c>
      <c r="G115" s="221">
        <f t="shared" si="119"/>
        <v>0</v>
      </c>
      <c r="H115" s="221">
        <f t="shared" si="119"/>
        <v>0</v>
      </c>
      <c r="I115" s="221">
        <f t="shared" si="119"/>
        <v>0</v>
      </c>
      <c r="J115" s="221">
        <f t="shared" si="119"/>
        <v>0</v>
      </c>
      <c r="K115" s="221">
        <f t="shared" si="119"/>
        <v>0</v>
      </c>
      <c r="L115" s="221">
        <f t="shared" si="119"/>
        <v>0</v>
      </c>
      <c r="M115" s="221">
        <f t="shared" si="119"/>
        <v>0</v>
      </c>
      <c r="N115" s="221">
        <f t="shared" si="119"/>
        <v>0</v>
      </c>
      <c r="O115" s="221">
        <f t="shared" si="119"/>
        <v>0</v>
      </c>
      <c r="P115" s="221">
        <f t="shared" si="119"/>
        <v>0</v>
      </c>
      <c r="Q115" s="221">
        <f t="shared" si="119"/>
        <v>0</v>
      </c>
      <c r="R115" s="221">
        <f t="shared" si="119"/>
        <v>0</v>
      </c>
      <c r="S115" s="221">
        <f t="shared" si="119"/>
        <v>0</v>
      </c>
      <c r="T115" s="221">
        <f t="shared" si="119"/>
        <v>0</v>
      </c>
      <c r="U115" s="221">
        <f t="shared" si="119"/>
        <v>0</v>
      </c>
      <c r="V115" s="221">
        <f t="shared" si="119"/>
        <v>0</v>
      </c>
      <c r="W115" s="221">
        <f t="shared" si="119"/>
        <v>0</v>
      </c>
      <c r="X115" s="221">
        <f t="shared" si="119"/>
        <v>0</v>
      </c>
      <c r="Y115" s="221">
        <f t="shared" si="119"/>
        <v>0</v>
      </c>
      <c r="Z115" s="221">
        <f t="shared" si="119"/>
        <v>0</v>
      </c>
      <c r="AA115" s="221">
        <f t="shared" si="119"/>
        <v>0</v>
      </c>
      <c r="AB115" s="221">
        <f t="shared" si="119"/>
        <v>0</v>
      </c>
      <c r="AC115" s="221">
        <f t="shared" si="119"/>
        <v>0</v>
      </c>
      <c r="AD115" s="221">
        <f t="shared" si="119"/>
        <v>0</v>
      </c>
      <c r="AE115" s="221">
        <f t="shared" si="119"/>
        <v>0</v>
      </c>
      <c r="AF115" s="221">
        <f t="shared" si="119"/>
        <v>0</v>
      </c>
      <c r="AG115" s="221">
        <f t="shared" si="119"/>
        <v>0</v>
      </c>
      <c r="AH115" s="221">
        <f t="shared" si="119"/>
        <v>0</v>
      </c>
      <c r="AI115" s="221">
        <f t="shared" si="119"/>
        <v>0</v>
      </c>
      <c r="AJ115" s="221">
        <f t="shared" si="119"/>
        <v>0</v>
      </c>
      <c r="AK115" s="221">
        <f t="shared" si="119"/>
        <v>0</v>
      </c>
      <c r="AL115" s="221">
        <f t="shared" si="119"/>
        <v>0</v>
      </c>
      <c r="AM115" s="221">
        <f t="shared" si="119"/>
        <v>0</v>
      </c>
      <c r="AN115" s="221">
        <f t="shared" si="119"/>
        <v>0</v>
      </c>
      <c r="AO115" s="221">
        <f t="shared" si="119"/>
        <v>0</v>
      </c>
      <c r="AP115" s="221">
        <f t="shared" si="119"/>
        <v>0</v>
      </c>
      <c r="AQ115" s="221">
        <f t="shared" si="119"/>
        <v>0</v>
      </c>
      <c r="AR115" s="221">
        <f t="shared" si="119"/>
        <v>0</v>
      </c>
      <c r="AS115" s="221">
        <f t="shared" si="119"/>
        <v>0</v>
      </c>
      <c r="AT115" s="221">
        <f t="shared" si="119"/>
        <v>0</v>
      </c>
      <c r="AU115" s="221">
        <f t="shared" si="119"/>
        <v>0</v>
      </c>
      <c r="AV115" s="221">
        <f t="shared" si="119"/>
        <v>0</v>
      </c>
      <c r="AW115" s="221">
        <f t="shared" si="119"/>
        <v>0</v>
      </c>
      <c r="AX115" s="221">
        <f t="shared" si="119"/>
        <v>0</v>
      </c>
      <c r="AY115" s="221">
        <f t="shared" si="119"/>
        <v>0</v>
      </c>
      <c r="AZ115" s="221">
        <f t="shared" si="119"/>
        <v>0</v>
      </c>
      <c r="BA115" s="221">
        <f t="shared" si="119"/>
        <v>0</v>
      </c>
      <c r="BB115" s="221">
        <f>IF(AND(BB111&gt;0,OR(BH111&gt;1,BH111=0),BB114&gt;=DATE(YEAR($B$41)+1,MONTH($B$41),DAY($B$41))),PPMT($C108,BB111,$C102,-$C100),0)</f>
        <v>0</v>
      </c>
      <c r="BC115" s="221">
        <f t="shared" ref="BC115:DN115" si="120">IF(AND(BC111&gt;0,OR(BI111&gt;1,BI111=0),BC114&gt;=DATE(YEAR($B$41)+1,MONTH($B$41),DAY($B$41))),PPMT($C108,BC111,$C102,-$C100),0)</f>
        <v>0</v>
      </c>
      <c r="BD115" s="221">
        <f t="shared" si="120"/>
        <v>0</v>
      </c>
      <c r="BE115" s="221">
        <f t="shared" si="120"/>
        <v>0</v>
      </c>
      <c r="BF115" s="221">
        <f t="shared" si="120"/>
        <v>0</v>
      </c>
      <c r="BG115" s="221">
        <f t="shared" si="120"/>
        <v>0</v>
      </c>
      <c r="BH115" s="221">
        <f t="shared" si="120"/>
        <v>0</v>
      </c>
      <c r="BI115" s="221">
        <f t="shared" si="120"/>
        <v>0</v>
      </c>
      <c r="BJ115" s="221">
        <f t="shared" si="120"/>
        <v>0</v>
      </c>
      <c r="BK115" s="221">
        <f t="shared" si="120"/>
        <v>0</v>
      </c>
      <c r="BL115" s="221">
        <f t="shared" si="120"/>
        <v>0</v>
      </c>
      <c r="BM115" s="221">
        <f t="shared" si="120"/>
        <v>0</v>
      </c>
      <c r="BN115" s="221">
        <f t="shared" si="120"/>
        <v>0</v>
      </c>
      <c r="BO115" s="221">
        <f t="shared" si="120"/>
        <v>0</v>
      </c>
      <c r="BP115" s="221">
        <f t="shared" si="120"/>
        <v>0</v>
      </c>
      <c r="BQ115" s="221">
        <f t="shared" si="120"/>
        <v>0</v>
      </c>
      <c r="BR115" s="221">
        <f t="shared" si="120"/>
        <v>0</v>
      </c>
      <c r="BS115" s="221">
        <f t="shared" si="120"/>
        <v>0</v>
      </c>
      <c r="BT115" s="221">
        <f t="shared" si="120"/>
        <v>0</v>
      </c>
      <c r="BU115" s="221">
        <f t="shared" si="120"/>
        <v>0</v>
      </c>
      <c r="BV115" s="221">
        <f t="shared" si="120"/>
        <v>0</v>
      </c>
      <c r="BW115" s="221">
        <f t="shared" si="120"/>
        <v>0</v>
      </c>
      <c r="BX115" s="221">
        <f t="shared" si="120"/>
        <v>0</v>
      </c>
      <c r="BY115" s="221">
        <f t="shared" si="120"/>
        <v>0</v>
      </c>
      <c r="BZ115" s="221">
        <f t="shared" si="120"/>
        <v>0</v>
      </c>
      <c r="CA115" s="221">
        <f t="shared" si="120"/>
        <v>0</v>
      </c>
      <c r="CB115" s="221">
        <f t="shared" si="120"/>
        <v>0</v>
      </c>
      <c r="CC115" s="221">
        <f t="shared" si="120"/>
        <v>0</v>
      </c>
      <c r="CD115" s="221">
        <f t="shared" si="120"/>
        <v>0</v>
      </c>
      <c r="CE115" s="221">
        <f t="shared" si="120"/>
        <v>0</v>
      </c>
      <c r="CF115" s="221">
        <f t="shared" si="120"/>
        <v>0</v>
      </c>
      <c r="CG115" s="221">
        <f t="shared" si="120"/>
        <v>0</v>
      </c>
      <c r="CH115" s="221">
        <f t="shared" si="120"/>
        <v>0</v>
      </c>
      <c r="CI115" s="221">
        <f t="shared" si="120"/>
        <v>0</v>
      </c>
      <c r="CJ115" s="221">
        <f t="shared" si="120"/>
        <v>0</v>
      </c>
      <c r="CK115" s="221">
        <f t="shared" si="120"/>
        <v>0</v>
      </c>
      <c r="CL115" s="221">
        <f t="shared" si="120"/>
        <v>0</v>
      </c>
      <c r="CM115" s="221">
        <f t="shared" si="120"/>
        <v>0</v>
      </c>
      <c r="CN115" s="221">
        <f t="shared" si="120"/>
        <v>0</v>
      </c>
      <c r="CO115" s="221">
        <f t="shared" si="120"/>
        <v>0</v>
      </c>
      <c r="CP115" s="221">
        <f t="shared" si="120"/>
        <v>0</v>
      </c>
      <c r="CQ115" s="221">
        <f t="shared" si="120"/>
        <v>0</v>
      </c>
      <c r="CR115" s="221">
        <f t="shared" si="120"/>
        <v>0</v>
      </c>
      <c r="CS115" s="221">
        <f t="shared" si="120"/>
        <v>0</v>
      </c>
      <c r="CT115" s="221">
        <f t="shared" si="120"/>
        <v>0</v>
      </c>
      <c r="CU115" s="221">
        <f t="shared" si="120"/>
        <v>0</v>
      </c>
      <c r="CV115" s="221">
        <f t="shared" si="120"/>
        <v>0</v>
      </c>
      <c r="CW115" s="221">
        <f t="shared" si="120"/>
        <v>0</v>
      </c>
      <c r="CX115" s="221">
        <f t="shared" si="120"/>
        <v>0</v>
      </c>
      <c r="CY115" s="221">
        <f t="shared" si="120"/>
        <v>0</v>
      </c>
      <c r="CZ115" s="221">
        <f t="shared" si="120"/>
        <v>0</v>
      </c>
      <c r="DA115" s="221">
        <f t="shared" si="120"/>
        <v>0</v>
      </c>
      <c r="DB115" s="221">
        <f t="shared" si="120"/>
        <v>0</v>
      </c>
      <c r="DC115" s="221">
        <f t="shared" si="120"/>
        <v>0</v>
      </c>
      <c r="DD115" s="221">
        <f t="shared" si="120"/>
        <v>0</v>
      </c>
      <c r="DE115" s="221">
        <f t="shared" si="120"/>
        <v>0</v>
      </c>
      <c r="DF115" s="221">
        <f t="shared" si="120"/>
        <v>0</v>
      </c>
      <c r="DG115" s="221">
        <f t="shared" si="120"/>
        <v>0</v>
      </c>
      <c r="DH115" s="221">
        <f t="shared" si="120"/>
        <v>0</v>
      </c>
      <c r="DI115" s="221">
        <f t="shared" si="120"/>
        <v>0</v>
      </c>
      <c r="DJ115" s="221">
        <f t="shared" si="120"/>
        <v>0</v>
      </c>
      <c r="DK115" s="221">
        <f t="shared" si="120"/>
        <v>0</v>
      </c>
      <c r="DL115" s="221">
        <f t="shared" si="120"/>
        <v>0</v>
      </c>
      <c r="DM115" s="221">
        <f t="shared" si="120"/>
        <v>0</v>
      </c>
      <c r="DN115" s="221">
        <f t="shared" si="120"/>
        <v>0</v>
      </c>
      <c r="DO115" s="221">
        <f t="shared" ref="DO115:EQ115" si="121">IF(AND(DO111&gt;0,OR(DU111&gt;1,DU111=0),DO114&gt;=DATE(YEAR($B$41)+1,MONTH($B$41),DAY($B$41))),PPMT($C108,DO111,$C102,-$C100),0)</f>
        <v>0</v>
      </c>
      <c r="DP115" s="221">
        <f t="shared" si="121"/>
        <v>0</v>
      </c>
      <c r="DQ115" s="221">
        <f t="shared" si="121"/>
        <v>0</v>
      </c>
      <c r="DR115" s="221">
        <f t="shared" si="121"/>
        <v>0</v>
      </c>
      <c r="DS115" s="221">
        <f t="shared" si="121"/>
        <v>0</v>
      </c>
      <c r="DT115" s="221">
        <f t="shared" si="121"/>
        <v>0</v>
      </c>
      <c r="DU115" s="221">
        <f t="shared" si="121"/>
        <v>0</v>
      </c>
      <c r="DV115" s="221">
        <f t="shared" si="121"/>
        <v>0</v>
      </c>
      <c r="DW115" s="221">
        <f t="shared" si="121"/>
        <v>0</v>
      </c>
      <c r="DX115" s="221">
        <f t="shared" si="121"/>
        <v>0</v>
      </c>
      <c r="DY115" s="221">
        <f t="shared" si="121"/>
        <v>0</v>
      </c>
      <c r="DZ115" s="221">
        <f t="shared" si="121"/>
        <v>0</v>
      </c>
      <c r="EA115" s="221">
        <f t="shared" si="121"/>
        <v>0</v>
      </c>
      <c r="EB115" s="221">
        <f t="shared" si="121"/>
        <v>0</v>
      </c>
      <c r="EC115" s="221">
        <f t="shared" si="121"/>
        <v>0</v>
      </c>
      <c r="ED115" s="221">
        <f t="shared" si="121"/>
        <v>0</v>
      </c>
      <c r="EE115" s="221">
        <f t="shared" si="121"/>
        <v>0</v>
      </c>
      <c r="EF115" s="221">
        <f t="shared" si="121"/>
        <v>0</v>
      </c>
      <c r="EG115" s="221">
        <f t="shared" si="121"/>
        <v>0</v>
      </c>
      <c r="EH115" s="221">
        <f t="shared" si="121"/>
        <v>0</v>
      </c>
      <c r="EI115" s="221">
        <f t="shared" si="121"/>
        <v>0</v>
      </c>
      <c r="EJ115" s="221">
        <f t="shared" si="121"/>
        <v>0</v>
      </c>
      <c r="EK115" s="221">
        <f t="shared" si="121"/>
        <v>0</v>
      </c>
      <c r="EL115" s="221">
        <f t="shared" si="121"/>
        <v>0</v>
      </c>
      <c r="EM115" s="221">
        <f t="shared" si="121"/>
        <v>0</v>
      </c>
      <c r="EN115" s="221">
        <f t="shared" si="121"/>
        <v>0</v>
      </c>
      <c r="EO115" s="221">
        <f t="shared" si="121"/>
        <v>0</v>
      </c>
      <c r="EP115" s="221">
        <f t="shared" si="121"/>
        <v>0</v>
      </c>
      <c r="EQ115" s="222">
        <f t="shared" si="121"/>
        <v>0</v>
      </c>
    </row>
    <row r="116" spans="1:147" x14ac:dyDescent="0.25">
      <c r="A116" s="226" t="s">
        <v>354</v>
      </c>
      <c r="B116" s="227"/>
      <c r="C116" s="228">
        <f>SUM(D116:EQ116)</f>
        <v>0</v>
      </c>
      <c r="D116" s="228">
        <f t="shared" ref="D116" si="122">IF(D111&gt;0,IPMT($C108,D111,$C102,-$C100),0)</f>
        <v>0</v>
      </c>
      <c r="E116" s="228">
        <f t="shared" ref="E116:BP116" si="123">IF(AND(E111&gt;0,E113&gt;DATE(YEAR($B$41)+1,MONTH($B$41),DAY($B$41))),IPMT($C108,E111,$C102,-$C100),0)+IF(AND(E111&gt;0,E113&lt;DATE(YEAR($B$41)+1,MONTH($B$41),DAY($B$41))),$C100*$C106,0)</f>
        <v>0</v>
      </c>
      <c r="F116" s="228">
        <f t="shared" si="123"/>
        <v>0</v>
      </c>
      <c r="G116" s="228">
        <f t="shared" si="123"/>
        <v>0</v>
      </c>
      <c r="H116" s="228">
        <f t="shared" si="123"/>
        <v>0</v>
      </c>
      <c r="I116" s="228">
        <f t="shared" si="123"/>
        <v>0</v>
      </c>
      <c r="J116" s="228">
        <f t="shared" si="123"/>
        <v>0</v>
      </c>
      <c r="K116" s="228">
        <f t="shared" si="123"/>
        <v>0</v>
      </c>
      <c r="L116" s="228">
        <f t="shared" si="123"/>
        <v>0</v>
      </c>
      <c r="M116" s="228">
        <f t="shared" si="123"/>
        <v>0</v>
      </c>
      <c r="N116" s="228">
        <f t="shared" si="123"/>
        <v>0</v>
      </c>
      <c r="O116" s="228">
        <f t="shared" si="123"/>
        <v>0</v>
      </c>
      <c r="P116" s="228">
        <f t="shared" si="123"/>
        <v>0</v>
      </c>
      <c r="Q116" s="228">
        <f t="shared" si="123"/>
        <v>0</v>
      </c>
      <c r="R116" s="228">
        <f t="shared" si="123"/>
        <v>0</v>
      </c>
      <c r="S116" s="228">
        <f t="shared" si="123"/>
        <v>0</v>
      </c>
      <c r="T116" s="228">
        <f t="shared" si="123"/>
        <v>0</v>
      </c>
      <c r="U116" s="228">
        <f t="shared" si="123"/>
        <v>0</v>
      </c>
      <c r="V116" s="228">
        <f t="shared" si="123"/>
        <v>0</v>
      </c>
      <c r="W116" s="228">
        <f t="shared" si="123"/>
        <v>0</v>
      </c>
      <c r="X116" s="228">
        <f t="shared" si="123"/>
        <v>0</v>
      </c>
      <c r="Y116" s="228">
        <f t="shared" si="123"/>
        <v>0</v>
      </c>
      <c r="Z116" s="228">
        <f t="shared" si="123"/>
        <v>0</v>
      </c>
      <c r="AA116" s="228">
        <f t="shared" si="123"/>
        <v>0</v>
      </c>
      <c r="AB116" s="228">
        <f t="shared" si="123"/>
        <v>0</v>
      </c>
      <c r="AC116" s="228">
        <f t="shared" si="123"/>
        <v>0</v>
      </c>
      <c r="AD116" s="228">
        <f t="shared" si="123"/>
        <v>0</v>
      </c>
      <c r="AE116" s="228">
        <f t="shared" si="123"/>
        <v>0</v>
      </c>
      <c r="AF116" s="228">
        <f t="shared" si="123"/>
        <v>0</v>
      </c>
      <c r="AG116" s="228">
        <f t="shared" si="123"/>
        <v>0</v>
      </c>
      <c r="AH116" s="228">
        <f t="shared" si="123"/>
        <v>0</v>
      </c>
      <c r="AI116" s="228">
        <f t="shared" si="123"/>
        <v>0</v>
      </c>
      <c r="AJ116" s="228">
        <f t="shared" si="123"/>
        <v>0</v>
      </c>
      <c r="AK116" s="228">
        <f t="shared" si="123"/>
        <v>0</v>
      </c>
      <c r="AL116" s="228">
        <f t="shared" si="123"/>
        <v>0</v>
      </c>
      <c r="AM116" s="228">
        <f t="shared" si="123"/>
        <v>0</v>
      </c>
      <c r="AN116" s="228">
        <f t="shared" si="123"/>
        <v>0</v>
      </c>
      <c r="AO116" s="228">
        <f t="shared" si="123"/>
        <v>0</v>
      </c>
      <c r="AP116" s="228">
        <f t="shared" si="123"/>
        <v>0</v>
      </c>
      <c r="AQ116" s="228">
        <f t="shared" si="123"/>
        <v>0</v>
      </c>
      <c r="AR116" s="228">
        <f t="shared" si="123"/>
        <v>0</v>
      </c>
      <c r="AS116" s="228">
        <f t="shared" si="123"/>
        <v>0</v>
      </c>
      <c r="AT116" s="228">
        <f t="shared" si="123"/>
        <v>0</v>
      </c>
      <c r="AU116" s="228">
        <f t="shared" si="123"/>
        <v>0</v>
      </c>
      <c r="AV116" s="228">
        <f t="shared" si="123"/>
        <v>0</v>
      </c>
      <c r="AW116" s="228">
        <f t="shared" si="123"/>
        <v>0</v>
      </c>
      <c r="AX116" s="228">
        <f t="shared" si="123"/>
        <v>0</v>
      </c>
      <c r="AY116" s="228">
        <f t="shared" si="123"/>
        <v>0</v>
      </c>
      <c r="AZ116" s="228">
        <f t="shared" si="123"/>
        <v>0</v>
      </c>
      <c r="BA116" s="228">
        <f t="shared" si="123"/>
        <v>0</v>
      </c>
      <c r="BB116" s="228">
        <f t="shared" si="123"/>
        <v>0</v>
      </c>
      <c r="BC116" s="228">
        <f t="shared" si="123"/>
        <v>0</v>
      </c>
      <c r="BD116" s="228">
        <f t="shared" si="123"/>
        <v>0</v>
      </c>
      <c r="BE116" s="228">
        <f t="shared" si="123"/>
        <v>0</v>
      </c>
      <c r="BF116" s="228">
        <f t="shared" si="123"/>
        <v>0</v>
      </c>
      <c r="BG116" s="228">
        <f t="shared" si="123"/>
        <v>0</v>
      </c>
      <c r="BH116" s="228">
        <f t="shared" si="123"/>
        <v>0</v>
      </c>
      <c r="BI116" s="228">
        <f t="shared" si="123"/>
        <v>0</v>
      </c>
      <c r="BJ116" s="228">
        <f t="shared" si="123"/>
        <v>0</v>
      </c>
      <c r="BK116" s="228">
        <f t="shared" si="123"/>
        <v>0</v>
      </c>
      <c r="BL116" s="228">
        <f t="shared" si="123"/>
        <v>0</v>
      </c>
      <c r="BM116" s="228">
        <f t="shared" si="123"/>
        <v>0</v>
      </c>
      <c r="BN116" s="228">
        <f t="shared" si="123"/>
        <v>0</v>
      </c>
      <c r="BO116" s="228">
        <f t="shared" si="123"/>
        <v>0</v>
      </c>
      <c r="BP116" s="228">
        <f t="shared" si="123"/>
        <v>0</v>
      </c>
      <c r="BQ116" s="228">
        <f t="shared" ref="BQ116:BS116" si="124">IF(AND(BQ111&gt;0,BQ113&gt;DATE(YEAR($B$41)+1,MONTH($B$41),DAY($B$41))),IPMT($C108,BQ111,$C102,-$C100),0)+IF(AND(BQ111&gt;0,BQ113&lt;DATE(YEAR($B$41)+1,MONTH($B$41),DAY($B$41))),$C100*$C106,0)</f>
        <v>0</v>
      </c>
      <c r="BR116" s="228">
        <f t="shared" si="124"/>
        <v>0</v>
      </c>
      <c r="BS116" s="228">
        <f t="shared" si="124"/>
        <v>0</v>
      </c>
      <c r="BT116" s="228">
        <f>IF(AND(BT111&gt;0,BT113&gt;DATE(YEAR($B$41)+1,MONTH($B$41),DAY($B$41))),IPMT($C108,BT111,$C102,-$C100),0)+IF(AND(BT111&gt;0,BT113&lt;DATE(YEAR($B$41)+1,MONTH($B$41),DAY($B$41))),$C100*$C106,0)</f>
        <v>0</v>
      </c>
      <c r="BU116" s="228">
        <f t="shared" ref="BU116:EF116" si="125">IF(AND(BU111&gt;0,BU113&gt;DATE(YEAR($B$41)+1,MONTH($B$41),DAY($B$41))),IPMT($C108,BU111,$C102,-$C100),0)+IF(AND(BU111&gt;0,BU113&lt;DATE(YEAR($B$41)+1,MONTH($B$41),DAY($B$41))),$C100*$C106,0)</f>
        <v>0</v>
      </c>
      <c r="BV116" s="228">
        <f t="shared" si="125"/>
        <v>0</v>
      </c>
      <c r="BW116" s="228">
        <f t="shared" si="125"/>
        <v>0</v>
      </c>
      <c r="BX116" s="228">
        <f t="shared" si="125"/>
        <v>0</v>
      </c>
      <c r="BY116" s="228">
        <f t="shared" si="125"/>
        <v>0</v>
      </c>
      <c r="BZ116" s="228">
        <f t="shared" si="125"/>
        <v>0</v>
      </c>
      <c r="CA116" s="228">
        <f t="shared" si="125"/>
        <v>0</v>
      </c>
      <c r="CB116" s="228">
        <f t="shared" si="125"/>
        <v>0</v>
      </c>
      <c r="CC116" s="228">
        <f t="shared" si="125"/>
        <v>0</v>
      </c>
      <c r="CD116" s="228">
        <f t="shared" si="125"/>
        <v>0</v>
      </c>
      <c r="CE116" s="228">
        <f t="shared" si="125"/>
        <v>0</v>
      </c>
      <c r="CF116" s="228">
        <f t="shared" si="125"/>
        <v>0</v>
      </c>
      <c r="CG116" s="228">
        <f t="shared" si="125"/>
        <v>0</v>
      </c>
      <c r="CH116" s="228">
        <f t="shared" si="125"/>
        <v>0</v>
      </c>
      <c r="CI116" s="228">
        <f t="shared" si="125"/>
        <v>0</v>
      </c>
      <c r="CJ116" s="228">
        <f t="shared" si="125"/>
        <v>0</v>
      </c>
      <c r="CK116" s="228">
        <f t="shared" si="125"/>
        <v>0</v>
      </c>
      <c r="CL116" s="228">
        <f t="shared" si="125"/>
        <v>0</v>
      </c>
      <c r="CM116" s="228">
        <f t="shared" si="125"/>
        <v>0</v>
      </c>
      <c r="CN116" s="228">
        <f t="shared" si="125"/>
        <v>0</v>
      </c>
      <c r="CO116" s="228">
        <f t="shared" si="125"/>
        <v>0</v>
      </c>
      <c r="CP116" s="228">
        <f t="shared" si="125"/>
        <v>0</v>
      </c>
      <c r="CQ116" s="228">
        <f t="shared" si="125"/>
        <v>0</v>
      </c>
      <c r="CR116" s="228">
        <f t="shared" si="125"/>
        <v>0</v>
      </c>
      <c r="CS116" s="228">
        <f t="shared" si="125"/>
        <v>0</v>
      </c>
      <c r="CT116" s="228">
        <f t="shared" si="125"/>
        <v>0</v>
      </c>
      <c r="CU116" s="228">
        <f t="shared" si="125"/>
        <v>0</v>
      </c>
      <c r="CV116" s="228">
        <f t="shared" si="125"/>
        <v>0</v>
      </c>
      <c r="CW116" s="228">
        <f t="shared" si="125"/>
        <v>0</v>
      </c>
      <c r="CX116" s="228">
        <f t="shared" si="125"/>
        <v>0</v>
      </c>
      <c r="CY116" s="228">
        <f t="shared" si="125"/>
        <v>0</v>
      </c>
      <c r="CZ116" s="228">
        <f t="shared" si="125"/>
        <v>0</v>
      </c>
      <c r="DA116" s="228">
        <f t="shared" si="125"/>
        <v>0</v>
      </c>
      <c r="DB116" s="228">
        <f t="shared" si="125"/>
        <v>0</v>
      </c>
      <c r="DC116" s="228">
        <f t="shared" si="125"/>
        <v>0</v>
      </c>
      <c r="DD116" s="228">
        <f t="shared" si="125"/>
        <v>0</v>
      </c>
      <c r="DE116" s="228">
        <f t="shared" si="125"/>
        <v>0</v>
      </c>
      <c r="DF116" s="228">
        <f t="shared" si="125"/>
        <v>0</v>
      </c>
      <c r="DG116" s="228">
        <f t="shared" si="125"/>
        <v>0</v>
      </c>
      <c r="DH116" s="228">
        <f t="shared" si="125"/>
        <v>0</v>
      </c>
      <c r="DI116" s="228">
        <f t="shared" si="125"/>
        <v>0</v>
      </c>
      <c r="DJ116" s="228">
        <f t="shared" si="125"/>
        <v>0</v>
      </c>
      <c r="DK116" s="228">
        <f t="shared" si="125"/>
        <v>0</v>
      </c>
      <c r="DL116" s="228">
        <f t="shared" si="125"/>
        <v>0</v>
      </c>
      <c r="DM116" s="228">
        <f t="shared" si="125"/>
        <v>0</v>
      </c>
      <c r="DN116" s="228">
        <f t="shared" si="125"/>
        <v>0</v>
      </c>
      <c r="DO116" s="228">
        <f t="shared" si="125"/>
        <v>0</v>
      </c>
      <c r="DP116" s="228">
        <f t="shared" si="125"/>
        <v>0</v>
      </c>
      <c r="DQ116" s="228">
        <f t="shared" si="125"/>
        <v>0</v>
      </c>
      <c r="DR116" s="228">
        <f t="shared" si="125"/>
        <v>0</v>
      </c>
      <c r="DS116" s="228">
        <f t="shared" si="125"/>
        <v>0</v>
      </c>
      <c r="DT116" s="228">
        <f t="shared" si="125"/>
        <v>0</v>
      </c>
      <c r="DU116" s="228">
        <f t="shared" si="125"/>
        <v>0</v>
      </c>
      <c r="DV116" s="228">
        <f t="shared" si="125"/>
        <v>0</v>
      </c>
      <c r="DW116" s="228">
        <f t="shared" si="125"/>
        <v>0</v>
      </c>
      <c r="DX116" s="228">
        <f t="shared" si="125"/>
        <v>0</v>
      </c>
      <c r="DY116" s="228">
        <f t="shared" si="125"/>
        <v>0</v>
      </c>
      <c r="DZ116" s="228">
        <f t="shared" si="125"/>
        <v>0</v>
      </c>
      <c r="EA116" s="228">
        <f t="shared" si="125"/>
        <v>0</v>
      </c>
      <c r="EB116" s="228">
        <f t="shared" si="125"/>
        <v>0</v>
      </c>
      <c r="EC116" s="228">
        <f t="shared" si="125"/>
        <v>0</v>
      </c>
      <c r="ED116" s="228">
        <f t="shared" si="125"/>
        <v>0</v>
      </c>
      <c r="EE116" s="228">
        <f t="shared" si="125"/>
        <v>0</v>
      </c>
      <c r="EF116" s="228">
        <f t="shared" si="125"/>
        <v>0</v>
      </c>
      <c r="EG116" s="228">
        <f t="shared" ref="EG116:EQ116" si="126">IF(AND(EG111&gt;0,EG113&gt;DATE(YEAR($B$41)+1,MONTH($B$41),DAY($B$41))),IPMT($C108,EG111,$C102,-$C100),0)+IF(AND(EG111&gt;0,EG113&lt;DATE(YEAR($B$41)+1,MONTH($B$41),DAY($B$41))),$C100*$C106,0)</f>
        <v>0</v>
      </c>
      <c r="EH116" s="228">
        <f t="shared" si="126"/>
        <v>0</v>
      </c>
      <c r="EI116" s="228">
        <f t="shared" si="126"/>
        <v>0</v>
      </c>
      <c r="EJ116" s="228">
        <f t="shared" si="126"/>
        <v>0</v>
      </c>
      <c r="EK116" s="228">
        <f t="shared" si="126"/>
        <v>0</v>
      </c>
      <c r="EL116" s="228">
        <f t="shared" si="126"/>
        <v>0</v>
      </c>
      <c r="EM116" s="228">
        <f t="shared" si="126"/>
        <v>0</v>
      </c>
      <c r="EN116" s="228">
        <f t="shared" si="126"/>
        <v>0</v>
      </c>
      <c r="EO116" s="228">
        <f t="shared" si="126"/>
        <v>0</v>
      </c>
      <c r="EP116" s="228">
        <f t="shared" si="126"/>
        <v>0</v>
      </c>
      <c r="EQ116" s="229">
        <f t="shared" si="126"/>
        <v>0</v>
      </c>
    </row>
    <row r="117" spans="1:147" x14ac:dyDescent="0.25">
      <c r="A117" s="226" t="s">
        <v>355</v>
      </c>
      <c r="B117" s="227"/>
      <c r="C117" s="228">
        <f>SUM(D117:EQ117)</f>
        <v>0</v>
      </c>
      <c r="D117" s="228">
        <f t="shared" ref="D117:BO117" si="127">IF(D113=$C99,$C100*$C110,0)</f>
        <v>0</v>
      </c>
      <c r="E117" s="228">
        <f t="shared" si="127"/>
        <v>0</v>
      </c>
      <c r="F117" s="228">
        <f t="shared" si="127"/>
        <v>0</v>
      </c>
      <c r="G117" s="228">
        <f t="shared" si="127"/>
        <v>0</v>
      </c>
      <c r="H117" s="228">
        <f t="shared" si="127"/>
        <v>0</v>
      </c>
      <c r="I117" s="228">
        <f t="shared" si="127"/>
        <v>0</v>
      </c>
      <c r="J117" s="228">
        <f t="shared" si="127"/>
        <v>0</v>
      </c>
      <c r="K117" s="228">
        <f t="shared" si="127"/>
        <v>0</v>
      </c>
      <c r="L117" s="228">
        <f t="shared" si="127"/>
        <v>0</v>
      </c>
      <c r="M117" s="228">
        <f t="shared" si="127"/>
        <v>0</v>
      </c>
      <c r="N117" s="228">
        <f t="shared" si="127"/>
        <v>0</v>
      </c>
      <c r="O117" s="228">
        <f t="shared" si="127"/>
        <v>0</v>
      </c>
      <c r="P117" s="228">
        <f t="shared" si="127"/>
        <v>0</v>
      </c>
      <c r="Q117" s="228">
        <f t="shared" si="127"/>
        <v>0</v>
      </c>
      <c r="R117" s="228">
        <f t="shared" si="127"/>
        <v>0</v>
      </c>
      <c r="S117" s="228">
        <f t="shared" si="127"/>
        <v>0</v>
      </c>
      <c r="T117" s="228">
        <f t="shared" si="127"/>
        <v>0</v>
      </c>
      <c r="U117" s="228">
        <f t="shared" si="127"/>
        <v>0</v>
      </c>
      <c r="V117" s="228">
        <f t="shared" si="127"/>
        <v>0</v>
      </c>
      <c r="W117" s="228">
        <f t="shared" si="127"/>
        <v>0</v>
      </c>
      <c r="X117" s="228">
        <f t="shared" si="127"/>
        <v>0</v>
      </c>
      <c r="Y117" s="228">
        <f t="shared" si="127"/>
        <v>0</v>
      </c>
      <c r="Z117" s="228">
        <f t="shared" si="127"/>
        <v>0</v>
      </c>
      <c r="AA117" s="228">
        <f t="shared" si="127"/>
        <v>0</v>
      </c>
      <c r="AB117" s="228">
        <f t="shared" si="127"/>
        <v>0</v>
      </c>
      <c r="AC117" s="228">
        <f t="shared" si="127"/>
        <v>0</v>
      </c>
      <c r="AD117" s="228">
        <f t="shared" si="127"/>
        <v>0</v>
      </c>
      <c r="AE117" s="228">
        <f t="shared" si="127"/>
        <v>0</v>
      </c>
      <c r="AF117" s="228">
        <f t="shared" si="127"/>
        <v>0</v>
      </c>
      <c r="AG117" s="228">
        <f t="shared" si="127"/>
        <v>0</v>
      </c>
      <c r="AH117" s="228">
        <f t="shared" si="127"/>
        <v>0</v>
      </c>
      <c r="AI117" s="228">
        <f t="shared" si="127"/>
        <v>0</v>
      </c>
      <c r="AJ117" s="228">
        <f t="shared" si="127"/>
        <v>0</v>
      </c>
      <c r="AK117" s="228">
        <f t="shared" si="127"/>
        <v>0</v>
      </c>
      <c r="AL117" s="228">
        <f t="shared" si="127"/>
        <v>0</v>
      </c>
      <c r="AM117" s="228">
        <f t="shared" si="127"/>
        <v>0</v>
      </c>
      <c r="AN117" s="228">
        <f t="shared" si="127"/>
        <v>0</v>
      </c>
      <c r="AO117" s="228">
        <f t="shared" si="127"/>
        <v>0</v>
      </c>
      <c r="AP117" s="228">
        <f t="shared" si="127"/>
        <v>0</v>
      </c>
      <c r="AQ117" s="228">
        <f t="shared" si="127"/>
        <v>0</v>
      </c>
      <c r="AR117" s="228">
        <f t="shared" si="127"/>
        <v>0</v>
      </c>
      <c r="AS117" s="228">
        <f t="shared" si="127"/>
        <v>0</v>
      </c>
      <c r="AT117" s="228">
        <f t="shared" si="127"/>
        <v>0</v>
      </c>
      <c r="AU117" s="228">
        <f t="shared" si="127"/>
        <v>0</v>
      </c>
      <c r="AV117" s="228">
        <f t="shared" si="127"/>
        <v>0</v>
      </c>
      <c r="AW117" s="228">
        <f t="shared" si="127"/>
        <v>0</v>
      </c>
      <c r="AX117" s="228">
        <f t="shared" si="127"/>
        <v>0</v>
      </c>
      <c r="AY117" s="228">
        <f t="shared" si="127"/>
        <v>0</v>
      </c>
      <c r="AZ117" s="228">
        <f t="shared" si="127"/>
        <v>0</v>
      </c>
      <c r="BA117" s="228">
        <f t="shared" si="127"/>
        <v>0</v>
      </c>
      <c r="BB117" s="228">
        <f t="shared" si="127"/>
        <v>0</v>
      </c>
      <c r="BC117" s="228">
        <f t="shared" si="127"/>
        <v>0</v>
      </c>
      <c r="BD117" s="228">
        <f t="shared" si="127"/>
        <v>0</v>
      </c>
      <c r="BE117" s="228">
        <f t="shared" si="127"/>
        <v>0</v>
      </c>
      <c r="BF117" s="228">
        <f t="shared" si="127"/>
        <v>0</v>
      </c>
      <c r="BG117" s="228">
        <f t="shared" si="127"/>
        <v>0</v>
      </c>
      <c r="BH117" s="228">
        <f t="shared" si="127"/>
        <v>0</v>
      </c>
      <c r="BI117" s="228">
        <f t="shared" si="127"/>
        <v>0</v>
      </c>
      <c r="BJ117" s="228">
        <f t="shared" si="127"/>
        <v>0</v>
      </c>
      <c r="BK117" s="228">
        <f t="shared" si="127"/>
        <v>0</v>
      </c>
      <c r="BL117" s="228">
        <f t="shared" si="127"/>
        <v>0</v>
      </c>
      <c r="BM117" s="228">
        <f t="shared" si="127"/>
        <v>0</v>
      </c>
      <c r="BN117" s="228">
        <f t="shared" si="127"/>
        <v>0</v>
      </c>
      <c r="BO117" s="228">
        <f t="shared" si="127"/>
        <v>0</v>
      </c>
      <c r="BP117" s="228">
        <f t="shared" ref="BP117:EA117" si="128">IF(BP113=$C99,$C100*$C110,0)</f>
        <v>0</v>
      </c>
      <c r="BQ117" s="228">
        <f t="shared" si="128"/>
        <v>0</v>
      </c>
      <c r="BR117" s="228">
        <f t="shared" si="128"/>
        <v>0</v>
      </c>
      <c r="BS117" s="228">
        <f t="shared" si="128"/>
        <v>0</v>
      </c>
      <c r="BT117" s="228">
        <f t="shared" si="128"/>
        <v>0</v>
      </c>
      <c r="BU117" s="228">
        <f t="shared" si="128"/>
        <v>0</v>
      </c>
      <c r="BV117" s="228">
        <f t="shared" si="128"/>
        <v>0</v>
      </c>
      <c r="BW117" s="228">
        <f t="shared" si="128"/>
        <v>0</v>
      </c>
      <c r="BX117" s="228">
        <f t="shared" si="128"/>
        <v>0</v>
      </c>
      <c r="BY117" s="228">
        <f t="shared" si="128"/>
        <v>0</v>
      </c>
      <c r="BZ117" s="228">
        <f t="shared" si="128"/>
        <v>0</v>
      </c>
      <c r="CA117" s="228">
        <f t="shared" si="128"/>
        <v>0</v>
      </c>
      <c r="CB117" s="228">
        <f t="shared" si="128"/>
        <v>0</v>
      </c>
      <c r="CC117" s="228">
        <f t="shared" si="128"/>
        <v>0</v>
      </c>
      <c r="CD117" s="228">
        <f t="shared" si="128"/>
        <v>0</v>
      </c>
      <c r="CE117" s="228">
        <f t="shared" si="128"/>
        <v>0</v>
      </c>
      <c r="CF117" s="228">
        <f t="shared" si="128"/>
        <v>0</v>
      </c>
      <c r="CG117" s="228">
        <f t="shared" si="128"/>
        <v>0</v>
      </c>
      <c r="CH117" s="228">
        <f t="shared" si="128"/>
        <v>0</v>
      </c>
      <c r="CI117" s="228">
        <f t="shared" si="128"/>
        <v>0</v>
      </c>
      <c r="CJ117" s="228">
        <f t="shared" si="128"/>
        <v>0</v>
      </c>
      <c r="CK117" s="228">
        <f t="shared" si="128"/>
        <v>0</v>
      </c>
      <c r="CL117" s="228">
        <f t="shared" si="128"/>
        <v>0</v>
      </c>
      <c r="CM117" s="228">
        <f t="shared" si="128"/>
        <v>0</v>
      </c>
      <c r="CN117" s="228">
        <f t="shared" si="128"/>
        <v>0</v>
      </c>
      <c r="CO117" s="228">
        <f t="shared" si="128"/>
        <v>0</v>
      </c>
      <c r="CP117" s="228">
        <f t="shared" si="128"/>
        <v>0</v>
      </c>
      <c r="CQ117" s="228">
        <f t="shared" si="128"/>
        <v>0</v>
      </c>
      <c r="CR117" s="228">
        <f t="shared" si="128"/>
        <v>0</v>
      </c>
      <c r="CS117" s="228">
        <f t="shared" si="128"/>
        <v>0</v>
      </c>
      <c r="CT117" s="228">
        <f t="shared" si="128"/>
        <v>0</v>
      </c>
      <c r="CU117" s="228">
        <f t="shared" si="128"/>
        <v>0</v>
      </c>
      <c r="CV117" s="228">
        <f t="shared" si="128"/>
        <v>0</v>
      </c>
      <c r="CW117" s="228">
        <f t="shared" si="128"/>
        <v>0</v>
      </c>
      <c r="CX117" s="228">
        <f t="shared" si="128"/>
        <v>0</v>
      </c>
      <c r="CY117" s="228">
        <f t="shared" si="128"/>
        <v>0</v>
      </c>
      <c r="CZ117" s="228">
        <f t="shared" si="128"/>
        <v>0</v>
      </c>
      <c r="DA117" s="228">
        <f t="shared" si="128"/>
        <v>0</v>
      </c>
      <c r="DB117" s="228">
        <f t="shared" si="128"/>
        <v>0</v>
      </c>
      <c r="DC117" s="228">
        <f t="shared" si="128"/>
        <v>0</v>
      </c>
      <c r="DD117" s="228">
        <f t="shared" si="128"/>
        <v>0</v>
      </c>
      <c r="DE117" s="228">
        <f t="shared" si="128"/>
        <v>0</v>
      </c>
      <c r="DF117" s="228">
        <f t="shared" si="128"/>
        <v>0</v>
      </c>
      <c r="DG117" s="228">
        <f t="shared" si="128"/>
        <v>0</v>
      </c>
      <c r="DH117" s="228">
        <f t="shared" si="128"/>
        <v>0</v>
      </c>
      <c r="DI117" s="228">
        <f t="shared" si="128"/>
        <v>0</v>
      </c>
      <c r="DJ117" s="228">
        <f t="shared" si="128"/>
        <v>0</v>
      </c>
      <c r="DK117" s="228">
        <f t="shared" si="128"/>
        <v>0</v>
      </c>
      <c r="DL117" s="228">
        <f t="shared" si="128"/>
        <v>0</v>
      </c>
      <c r="DM117" s="228">
        <f t="shared" si="128"/>
        <v>0</v>
      </c>
      <c r="DN117" s="228">
        <f t="shared" si="128"/>
        <v>0</v>
      </c>
      <c r="DO117" s="228">
        <f t="shared" si="128"/>
        <v>0</v>
      </c>
      <c r="DP117" s="228">
        <f t="shared" si="128"/>
        <v>0</v>
      </c>
      <c r="DQ117" s="228">
        <f t="shared" si="128"/>
        <v>0</v>
      </c>
      <c r="DR117" s="228">
        <f t="shared" si="128"/>
        <v>0</v>
      </c>
      <c r="DS117" s="228">
        <f t="shared" si="128"/>
        <v>0</v>
      </c>
      <c r="DT117" s="228">
        <f t="shared" si="128"/>
        <v>0</v>
      </c>
      <c r="DU117" s="228">
        <f t="shared" si="128"/>
        <v>0</v>
      </c>
      <c r="DV117" s="228">
        <f t="shared" si="128"/>
        <v>0</v>
      </c>
      <c r="DW117" s="228">
        <f t="shared" si="128"/>
        <v>0</v>
      </c>
      <c r="DX117" s="228">
        <f t="shared" si="128"/>
        <v>0</v>
      </c>
      <c r="DY117" s="228">
        <f t="shared" si="128"/>
        <v>0</v>
      </c>
      <c r="DZ117" s="228">
        <f t="shared" si="128"/>
        <v>0</v>
      </c>
      <c r="EA117" s="228">
        <f t="shared" si="128"/>
        <v>0</v>
      </c>
      <c r="EB117" s="228">
        <f t="shared" ref="EB117:EQ117" si="129">IF(EB113=$C99,$C100*$C110,0)</f>
        <v>0</v>
      </c>
      <c r="EC117" s="228">
        <f t="shared" si="129"/>
        <v>0</v>
      </c>
      <c r="ED117" s="228">
        <f t="shared" si="129"/>
        <v>0</v>
      </c>
      <c r="EE117" s="228">
        <f t="shared" si="129"/>
        <v>0</v>
      </c>
      <c r="EF117" s="228">
        <f t="shared" si="129"/>
        <v>0</v>
      </c>
      <c r="EG117" s="228">
        <f t="shared" si="129"/>
        <v>0</v>
      </c>
      <c r="EH117" s="228">
        <f t="shared" si="129"/>
        <v>0</v>
      </c>
      <c r="EI117" s="228">
        <f t="shared" si="129"/>
        <v>0</v>
      </c>
      <c r="EJ117" s="228">
        <f t="shared" si="129"/>
        <v>0</v>
      </c>
      <c r="EK117" s="228">
        <f t="shared" si="129"/>
        <v>0</v>
      </c>
      <c r="EL117" s="228">
        <f t="shared" si="129"/>
        <v>0</v>
      </c>
      <c r="EM117" s="228">
        <f t="shared" si="129"/>
        <v>0</v>
      </c>
      <c r="EN117" s="228">
        <f t="shared" si="129"/>
        <v>0</v>
      </c>
      <c r="EO117" s="228">
        <f t="shared" si="129"/>
        <v>0</v>
      </c>
      <c r="EP117" s="228">
        <f t="shared" si="129"/>
        <v>0</v>
      </c>
      <c r="EQ117" s="229">
        <f t="shared" si="129"/>
        <v>0</v>
      </c>
    </row>
    <row r="118" spans="1:147" x14ac:dyDescent="0.25">
      <c r="A118" s="230" t="s">
        <v>356</v>
      </c>
      <c r="B118" s="231"/>
      <c r="C118" s="232"/>
      <c r="D118" s="232">
        <f t="shared" ref="D118:BO118" si="130">IF(D113=$C99,$C100,C118-D115)</f>
        <v>0</v>
      </c>
      <c r="E118" s="232">
        <f t="shared" si="130"/>
        <v>0</v>
      </c>
      <c r="F118" s="232">
        <f t="shared" si="130"/>
        <v>0</v>
      </c>
      <c r="G118" s="232">
        <f t="shared" si="130"/>
        <v>0</v>
      </c>
      <c r="H118" s="232">
        <f t="shared" si="130"/>
        <v>0</v>
      </c>
      <c r="I118" s="232">
        <f t="shared" si="130"/>
        <v>0</v>
      </c>
      <c r="J118" s="232">
        <f t="shared" si="130"/>
        <v>0</v>
      </c>
      <c r="K118" s="232">
        <f t="shared" si="130"/>
        <v>0</v>
      </c>
      <c r="L118" s="232">
        <f t="shared" si="130"/>
        <v>0</v>
      </c>
      <c r="M118" s="232">
        <f t="shared" si="130"/>
        <v>0</v>
      </c>
      <c r="N118" s="232">
        <f t="shared" si="130"/>
        <v>0</v>
      </c>
      <c r="O118" s="232">
        <f t="shared" si="130"/>
        <v>0</v>
      </c>
      <c r="P118" s="232">
        <f t="shared" si="130"/>
        <v>0</v>
      </c>
      <c r="Q118" s="232">
        <f t="shared" si="130"/>
        <v>0</v>
      </c>
      <c r="R118" s="232">
        <f t="shared" si="130"/>
        <v>0</v>
      </c>
      <c r="S118" s="232">
        <f t="shared" si="130"/>
        <v>0</v>
      </c>
      <c r="T118" s="232">
        <f t="shared" si="130"/>
        <v>0</v>
      </c>
      <c r="U118" s="232">
        <f t="shared" si="130"/>
        <v>0</v>
      </c>
      <c r="V118" s="232">
        <f t="shared" si="130"/>
        <v>0</v>
      </c>
      <c r="W118" s="232">
        <f t="shared" si="130"/>
        <v>0</v>
      </c>
      <c r="X118" s="232">
        <f t="shared" si="130"/>
        <v>0</v>
      </c>
      <c r="Y118" s="232">
        <f t="shared" si="130"/>
        <v>0</v>
      </c>
      <c r="Z118" s="232">
        <f t="shared" si="130"/>
        <v>0</v>
      </c>
      <c r="AA118" s="232">
        <f t="shared" si="130"/>
        <v>0</v>
      </c>
      <c r="AB118" s="232">
        <f t="shared" si="130"/>
        <v>0</v>
      </c>
      <c r="AC118" s="232">
        <f t="shared" si="130"/>
        <v>0</v>
      </c>
      <c r="AD118" s="232">
        <f t="shared" si="130"/>
        <v>0</v>
      </c>
      <c r="AE118" s="232">
        <f t="shared" si="130"/>
        <v>0</v>
      </c>
      <c r="AF118" s="232">
        <f t="shared" si="130"/>
        <v>0</v>
      </c>
      <c r="AG118" s="232">
        <f t="shared" si="130"/>
        <v>0</v>
      </c>
      <c r="AH118" s="232">
        <f t="shared" si="130"/>
        <v>0</v>
      </c>
      <c r="AI118" s="232">
        <f t="shared" si="130"/>
        <v>0</v>
      </c>
      <c r="AJ118" s="232">
        <f t="shared" si="130"/>
        <v>0</v>
      </c>
      <c r="AK118" s="232">
        <f t="shared" si="130"/>
        <v>0</v>
      </c>
      <c r="AL118" s="232">
        <f t="shared" si="130"/>
        <v>0</v>
      </c>
      <c r="AM118" s="232">
        <f t="shared" si="130"/>
        <v>0</v>
      </c>
      <c r="AN118" s="232">
        <f t="shared" si="130"/>
        <v>0</v>
      </c>
      <c r="AO118" s="232">
        <f t="shared" si="130"/>
        <v>0</v>
      </c>
      <c r="AP118" s="232">
        <f t="shared" si="130"/>
        <v>0</v>
      </c>
      <c r="AQ118" s="232">
        <f t="shared" si="130"/>
        <v>0</v>
      </c>
      <c r="AR118" s="232">
        <f t="shared" si="130"/>
        <v>0</v>
      </c>
      <c r="AS118" s="232">
        <f t="shared" si="130"/>
        <v>0</v>
      </c>
      <c r="AT118" s="232">
        <f t="shared" si="130"/>
        <v>0</v>
      </c>
      <c r="AU118" s="232">
        <f t="shared" si="130"/>
        <v>0</v>
      </c>
      <c r="AV118" s="232">
        <f t="shared" si="130"/>
        <v>0</v>
      </c>
      <c r="AW118" s="232">
        <f t="shared" si="130"/>
        <v>0</v>
      </c>
      <c r="AX118" s="232">
        <f t="shared" si="130"/>
        <v>0</v>
      </c>
      <c r="AY118" s="232">
        <f t="shared" si="130"/>
        <v>0</v>
      </c>
      <c r="AZ118" s="232">
        <f t="shared" si="130"/>
        <v>0</v>
      </c>
      <c r="BA118" s="232">
        <f t="shared" si="130"/>
        <v>0</v>
      </c>
      <c r="BB118" s="232">
        <f t="shared" si="130"/>
        <v>0</v>
      </c>
      <c r="BC118" s="232">
        <f t="shared" si="130"/>
        <v>0</v>
      </c>
      <c r="BD118" s="232">
        <f t="shared" si="130"/>
        <v>0</v>
      </c>
      <c r="BE118" s="232">
        <f t="shared" si="130"/>
        <v>0</v>
      </c>
      <c r="BF118" s="232">
        <f t="shared" si="130"/>
        <v>0</v>
      </c>
      <c r="BG118" s="232">
        <f t="shared" si="130"/>
        <v>0</v>
      </c>
      <c r="BH118" s="232">
        <f t="shared" si="130"/>
        <v>0</v>
      </c>
      <c r="BI118" s="232">
        <f t="shared" si="130"/>
        <v>0</v>
      </c>
      <c r="BJ118" s="232">
        <f t="shared" si="130"/>
        <v>0</v>
      </c>
      <c r="BK118" s="232">
        <f t="shared" si="130"/>
        <v>0</v>
      </c>
      <c r="BL118" s="232">
        <f t="shared" si="130"/>
        <v>0</v>
      </c>
      <c r="BM118" s="232">
        <f t="shared" si="130"/>
        <v>0</v>
      </c>
      <c r="BN118" s="232">
        <f t="shared" si="130"/>
        <v>0</v>
      </c>
      <c r="BO118" s="232">
        <f t="shared" si="130"/>
        <v>0</v>
      </c>
      <c r="BP118" s="232">
        <f t="shared" ref="BP118:EA118" si="131">IF(BP113=$C99,$C100,BO118-BP115)</f>
        <v>0</v>
      </c>
      <c r="BQ118" s="232">
        <f t="shared" si="131"/>
        <v>0</v>
      </c>
      <c r="BR118" s="232">
        <f t="shared" si="131"/>
        <v>0</v>
      </c>
      <c r="BS118" s="232">
        <f t="shared" si="131"/>
        <v>0</v>
      </c>
      <c r="BT118" s="232">
        <f t="shared" si="131"/>
        <v>0</v>
      </c>
      <c r="BU118" s="232">
        <f t="shared" si="131"/>
        <v>0</v>
      </c>
      <c r="BV118" s="232">
        <f t="shared" si="131"/>
        <v>0</v>
      </c>
      <c r="BW118" s="232">
        <f t="shared" si="131"/>
        <v>0</v>
      </c>
      <c r="BX118" s="232">
        <f t="shared" si="131"/>
        <v>0</v>
      </c>
      <c r="BY118" s="232">
        <f t="shared" si="131"/>
        <v>0</v>
      </c>
      <c r="BZ118" s="232">
        <f t="shared" si="131"/>
        <v>0</v>
      </c>
      <c r="CA118" s="232">
        <f t="shared" si="131"/>
        <v>0</v>
      </c>
      <c r="CB118" s="232">
        <f t="shared" si="131"/>
        <v>0</v>
      </c>
      <c r="CC118" s="232">
        <f t="shared" si="131"/>
        <v>0</v>
      </c>
      <c r="CD118" s="232">
        <f t="shared" si="131"/>
        <v>0</v>
      </c>
      <c r="CE118" s="232">
        <f t="shared" si="131"/>
        <v>0</v>
      </c>
      <c r="CF118" s="232">
        <f t="shared" si="131"/>
        <v>0</v>
      </c>
      <c r="CG118" s="232">
        <f t="shared" si="131"/>
        <v>0</v>
      </c>
      <c r="CH118" s="232">
        <f t="shared" si="131"/>
        <v>0</v>
      </c>
      <c r="CI118" s="232">
        <f t="shared" si="131"/>
        <v>0</v>
      </c>
      <c r="CJ118" s="232">
        <f t="shared" si="131"/>
        <v>0</v>
      </c>
      <c r="CK118" s="232">
        <f t="shared" si="131"/>
        <v>0</v>
      </c>
      <c r="CL118" s="232">
        <f t="shared" si="131"/>
        <v>0</v>
      </c>
      <c r="CM118" s="232">
        <f t="shared" si="131"/>
        <v>0</v>
      </c>
      <c r="CN118" s="232">
        <f t="shared" si="131"/>
        <v>0</v>
      </c>
      <c r="CO118" s="232">
        <f t="shared" si="131"/>
        <v>0</v>
      </c>
      <c r="CP118" s="232">
        <f t="shared" si="131"/>
        <v>0</v>
      </c>
      <c r="CQ118" s="232">
        <f t="shared" si="131"/>
        <v>0</v>
      </c>
      <c r="CR118" s="232">
        <f t="shared" si="131"/>
        <v>0</v>
      </c>
      <c r="CS118" s="232">
        <f t="shared" si="131"/>
        <v>0</v>
      </c>
      <c r="CT118" s="232">
        <f t="shared" si="131"/>
        <v>0</v>
      </c>
      <c r="CU118" s="232">
        <f t="shared" si="131"/>
        <v>0</v>
      </c>
      <c r="CV118" s="232">
        <f t="shared" si="131"/>
        <v>0</v>
      </c>
      <c r="CW118" s="232">
        <f t="shared" si="131"/>
        <v>0</v>
      </c>
      <c r="CX118" s="232">
        <f t="shared" si="131"/>
        <v>0</v>
      </c>
      <c r="CY118" s="232">
        <f t="shared" si="131"/>
        <v>0</v>
      </c>
      <c r="CZ118" s="232">
        <f t="shared" si="131"/>
        <v>0</v>
      </c>
      <c r="DA118" s="232">
        <f t="shared" si="131"/>
        <v>0</v>
      </c>
      <c r="DB118" s="232">
        <f t="shared" si="131"/>
        <v>0</v>
      </c>
      <c r="DC118" s="232">
        <f t="shared" si="131"/>
        <v>0</v>
      </c>
      <c r="DD118" s="232">
        <f t="shared" si="131"/>
        <v>0</v>
      </c>
      <c r="DE118" s="232">
        <f t="shared" si="131"/>
        <v>0</v>
      </c>
      <c r="DF118" s="232">
        <f t="shared" si="131"/>
        <v>0</v>
      </c>
      <c r="DG118" s="232">
        <f t="shared" si="131"/>
        <v>0</v>
      </c>
      <c r="DH118" s="232">
        <f t="shared" si="131"/>
        <v>0</v>
      </c>
      <c r="DI118" s="232">
        <f t="shared" si="131"/>
        <v>0</v>
      </c>
      <c r="DJ118" s="232">
        <f t="shared" si="131"/>
        <v>0</v>
      </c>
      <c r="DK118" s="232">
        <f t="shared" si="131"/>
        <v>0</v>
      </c>
      <c r="DL118" s="232">
        <f t="shared" si="131"/>
        <v>0</v>
      </c>
      <c r="DM118" s="232">
        <f t="shared" si="131"/>
        <v>0</v>
      </c>
      <c r="DN118" s="232">
        <f t="shared" si="131"/>
        <v>0</v>
      </c>
      <c r="DO118" s="232">
        <f t="shared" si="131"/>
        <v>0</v>
      </c>
      <c r="DP118" s="232">
        <f t="shared" si="131"/>
        <v>0</v>
      </c>
      <c r="DQ118" s="232">
        <f t="shared" si="131"/>
        <v>0</v>
      </c>
      <c r="DR118" s="232">
        <f t="shared" si="131"/>
        <v>0</v>
      </c>
      <c r="DS118" s="232">
        <f t="shared" si="131"/>
        <v>0</v>
      </c>
      <c r="DT118" s="232">
        <f t="shared" si="131"/>
        <v>0</v>
      </c>
      <c r="DU118" s="232">
        <f t="shared" si="131"/>
        <v>0</v>
      </c>
      <c r="DV118" s="232">
        <f t="shared" si="131"/>
        <v>0</v>
      </c>
      <c r="DW118" s="232">
        <f t="shared" si="131"/>
        <v>0</v>
      </c>
      <c r="DX118" s="232">
        <f t="shared" si="131"/>
        <v>0</v>
      </c>
      <c r="DY118" s="232">
        <f t="shared" si="131"/>
        <v>0</v>
      </c>
      <c r="DZ118" s="232">
        <f t="shared" si="131"/>
        <v>0</v>
      </c>
      <c r="EA118" s="232">
        <f t="shared" si="131"/>
        <v>0</v>
      </c>
      <c r="EB118" s="232">
        <f t="shared" ref="EB118:EQ118" si="132">IF(EB113=$C99,$C100,EA118-EB115)</f>
        <v>0</v>
      </c>
      <c r="EC118" s="232">
        <f t="shared" si="132"/>
        <v>0</v>
      </c>
      <c r="ED118" s="232">
        <f t="shared" si="132"/>
        <v>0</v>
      </c>
      <c r="EE118" s="232">
        <f t="shared" si="132"/>
        <v>0</v>
      </c>
      <c r="EF118" s="232">
        <f t="shared" si="132"/>
        <v>0</v>
      </c>
      <c r="EG118" s="232">
        <f t="shared" si="132"/>
        <v>0</v>
      </c>
      <c r="EH118" s="232">
        <f t="shared" si="132"/>
        <v>0</v>
      </c>
      <c r="EI118" s="232">
        <f t="shared" si="132"/>
        <v>0</v>
      </c>
      <c r="EJ118" s="232">
        <f t="shared" si="132"/>
        <v>0</v>
      </c>
      <c r="EK118" s="232">
        <f t="shared" si="132"/>
        <v>0</v>
      </c>
      <c r="EL118" s="232">
        <f t="shared" si="132"/>
        <v>0</v>
      </c>
      <c r="EM118" s="232">
        <f t="shared" si="132"/>
        <v>0</v>
      </c>
      <c r="EN118" s="232">
        <f t="shared" si="132"/>
        <v>0</v>
      </c>
      <c r="EO118" s="232">
        <f t="shared" si="132"/>
        <v>0</v>
      </c>
      <c r="EP118" s="232">
        <f t="shared" si="132"/>
        <v>0</v>
      </c>
      <c r="EQ118" s="233">
        <f t="shared" si="132"/>
        <v>0</v>
      </c>
    </row>
    <row r="119" spans="1:147" x14ac:dyDescent="0.25"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34"/>
      <c r="AY119" s="234"/>
      <c r="AZ119" s="234"/>
      <c r="BA119" s="234"/>
      <c r="BB119" s="234"/>
      <c r="BC119" s="234"/>
      <c r="BD119" s="234"/>
      <c r="BE119" s="234"/>
      <c r="BF119" s="234"/>
      <c r="BG119" s="234"/>
      <c r="BH119" s="234"/>
      <c r="BI119" s="234"/>
      <c r="BJ119" s="234"/>
      <c r="BK119" s="234"/>
      <c r="BL119" s="234"/>
      <c r="BM119" s="234"/>
      <c r="BN119" s="234"/>
      <c r="BO119" s="234"/>
      <c r="BP119" s="234"/>
      <c r="BQ119" s="234"/>
      <c r="BR119" s="234"/>
      <c r="BS119" s="234"/>
      <c r="BT119" s="234"/>
      <c r="BU119" s="234"/>
      <c r="BV119" s="234"/>
      <c r="BW119" s="234"/>
      <c r="BX119" s="234"/>
      <c r="BY119" s="234"/>
      <c r="BZ119" s="234"/>
      <c r="CA119" s="234"/>
      <c r="CB119" s="234"/>
      <c r="CC119" s="234"/>
      <c r="CD119" s="234"/>
      <c r="CE119" s="234"/>
      <c r="CF119" s="234"/>
      <c r="CG119" s="234"/>
      <c r="CH119" s="234"/>
      <c r="CI119" s="234"/>
      <c r="CJ119" s="234"/>
      <c r="CK119" s="234"/>
      <c r="CL119" s="234"/>
      <c r="CM119" s="234"/>
      <c r="CN119" s="234"/>
      <c r="CO119" s="234"/>
      <c r="CP119" s="234"/>
      <c r="CQ119" s="234"/>
      <c r="CR119" s="234"/>
      <c r="CS119" s="234"/>
      <c r="CT119" s="234"/>
      <c r="CU119" s="234"/>
      <c r="CV119" s="234"/>
      <c r="CW119" s="234"/>
      <c r="CX119" s="234"/>
      <c r="CY119" s="234"/>
      <c r="CZ119" s="234"/>
      <c r="DA119" s="234"/>
      <c r="DB119" s="234"/>
      <c r="DC119" s="234"/>
      <c r="DD119" s="234"/>
      <c r="DE119" s="234"/>
      <c r="DF119" s="234"/>
      <c r="DG119" s="234"/>
      <c r="DH119" s="234"/>
      <c r="DI119" s="234"/>
      <c r="DJ119" s="234"/>
      <c r="DK119" s="234"/>
      <c r="DL119" s="234"/>
      <c r="DM119" s="234"/>
      <c r="DN119" s="234"/>
      <c r="DO119" s="234"/>
      <c r="DP119" s="234"/>
      <c r="DQ119" s="234"/>
      <c r="DR119" s="234"/>
      <c r="DS119" s="234"/>
      <c r="DT119" s="234"/>
      <c r="DU119" s="234"/>
      <c r="DV119" s="234"/>
      <c r="DW119" s="234"/>
      <c r="DX119" s="234"/>
      <c r="DY119" s="234"/>
      <c r="DZ119" s="234"/>
      <c r="EA119" s="234"/>
      <c r="EB119" s="234"/>
      <c r="EC119" s="234"/>
      <c r="ED119" s="234"/>
      <c r="EE119" s="234"/>
      <c r="EF119" s="234"/>
      <c r="EG119" s="234"/>
      <c r="EH119" s="234"/>
      <c r="EI119" s="234"/>
      <c r="EJ119" s="234"/>
      <c r="EK119" s="234"/>
      <c r="EL119" s="234"/>
      <c r="EM119" s="234"/>
      <c r="EN119" s="234"/>
      <c r="EO119" s="234"/>
      <c r="EP119" s="234"/>
      <c r="EQ119" s="234"/>
    </row>
    <row r="120" spans="1:147" x14ac:dyDescent="0.25"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4"/>
      <c r="BI120" s="234"/>
      <c r="BJ120" s="234"/>
      <c r="BK120" s="234"/>
      <c r="BL120" s="234"/>
      <c r="BM120" s="234"/>
      <c r="BN120" s="234"/>
      <c r="BO120" s="234"/>
      <c r="BP120" s="234"/>
      <c r="BQ120" s="234"/>
      <c r="BR120" s="234"/>
      <c r="BS120" s="234"/>
      <c r="BT120" s="234"/>
      <c r="BU120" s="234"/>
      <c r="BV120" s="234"/>
      <c r="BW120" s="234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4"/>
      <c r="CK120" s="234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CW120" s="234"/>
      <c r="CX120" s="234"/>
      <c r="CY120" s="234"/>
      <c r="CZ120" s="234"/>
      <c r="DA120" s="234"/>
      <c r="DB120" s="234"/>
      <c r="DC120" s="234"/>
      <c r="DD120" s="234"/>
      <c r="DE120" s="234"/>
      <c r="DF120" s="234"/>
      <c r="DG120" s="234"/>
      <c r="DH120" s="234"/>
      <c r="DI120" s="234"/>
      <c r="DJ120" s="234"/>
      <c r="DK120" s="234"/>
      <c r="DL120" s="234"/>
      <c r="DM120" s="234"/>
      <c r="DN120" s="234"/>
      <c r="DO120" s="234"/>
      <c r="DP120" s="234"/>
      <c r="DQ120" s="234"/>
      <c r="DR120" s="234"/>
      <c r="DS120" s="234"/>
      <c r="DT120" s="234"/>
      <c r="DU120" s="234"/>
      <c r="DV120" s="234"/>
      <c r="DW120" s="234"/>
      <c r="DX120" s="234"/>
      <c r="DY120" s="234"/>
      <c r="DZ120" s="234"/>
      <c r="EA120" s="234"/>
      <c r="EB120" s="234"/>
      <c r="EC120" s="234"/>
      <c r="ED120" s="234"/>
      <c r="EE120" s="234"/>
      <c r="EF120" s="234"/>
      <c r="EG120" s="234"/>
      <c r="EH120" s="234"/>
      <c r="EI120" s="234"/>
      <c r="EJ120" s="234"/>
      <c r="EK120" s="234"/>
      <c r="EL120" s="234"/>
      <c r="EM120" s="234"/>
      <c r="EN120" s="234"/>
      <c r="EO120" s="234"/>
      <c r="EP120" s="234"/>
      <c r="EQ120" s="234"/>
    </row>
    <row r="121" spans="1:147" ht="15.75" x14ac:dyDescent="0.25">
      <c r="A121" s="215" t="s">
        <v>375</v>
      </c>
      <c r="B121" s="215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  <c r="AV121" s="234"/>
      <c r="AW121" s="234"/>
      <c r="AX121" s="234"/>
      <c r="AY121" s="234"/>
      <c r="AZ121" s="234"/>
      <c r="BA121" s="234"/>
      <c r="BB121" s="234"/>
      <c r="BC121" s="234"/>
      <c r="BD121" s="234"/>
      <c r="BE121" s="234"/>
      <c r="BF121" s="234"/>
      <c r="BG121" s="234"/>
      <c r="BH121" s="234"/>
      <c r="BI121" s="234"/>
      <c r="BJ121" s="234"/>
      <c r="BK121" s="234"/>
      <c r="BL121" s="234"/>
      <c r="BM121" s="234"/>
      <c r="BN121" s="234"/>
      <c r="BO121" s="234"/>
      <c r="BP121" s="234"/>
      <c r="BQ121" s="234"/>
      <c r="BR121" s="234"/>
      <c r="BS121" s="234"/>
      <c r="BT121" s="234"/>
      <c r="BU121" s="234"/>
      <c r="BV121" s="234"/>
      <c r="BW121" s="234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4"/>
      <c r="CH121" s="234"/>
      <c r="CI121" s="234"/>
      <c r="CJ121" s="234"/>
      <c r="CK121" s="234"/>
      <c r="CL121" s="234"/>
      <c r="CM121" s="234"/>
      <c r="CN121" s="234"/>
      <c r="CO121" s="234"/>
      <c r="CP121" s="234"/>
      <c r="CQ121" s="234"/>
      <c r="CR121" s="234"/>
      <c r="CS121" s="234"/>
      <c r="CT121" s="234"/>
      <c r="CU121" s="234"/>
      <c r="CV121" s="234"/>
      <c r="CW121" s="234"/>
      <c r="CX121" s="234"/>
      <c r="CY121" s="234"/>
      <c r="CZ121" s="234"/>
      <c r="DA121" s="234"/>
      <c r="DB121" s="234"/>
      <c r="DC121" s="234"/>
      <c r="DD121" s="234"/>
      <c r="DE121" s="234"/>
      <c r="DF121" s="234"/>
      <c r="DG121" s="234"/>
      <c r="DH121" s="234"/>
      <c r="DI121" s="234"/>
      <c r="DJ121" s="234"/>
      <c r="DK121" s="234"/>
      <c r="DL121" s="234"/>
      <c r="DM121" s="234"/>
      <c r="DN121" s="234"/>
      <c r="DO121" s="234"/>
      <c r="DP121" s="234"/>
      <c r="DQ121" s="234"/>
      <c r="DR121" s="234"/>
      <c r="DS121" s="234"/>
      <c r="DT121" s="234"/>
      <c r="DU121" s="234"/>
      <c r="DV121" s="234"/>
      <c r="DW121" s="234"/>
      <c r="DX121" s="234"/>
      <c r="DY121" s="234"/>
      <c r="DZ121" s="234"/>
      <c r="EA121" s="234"/>
      <c r="EB121" s="234"/>
      <c r="EC121" s="234"/>
      <c r="ED121" s="234"/>
      <c r="EE121" s="234"/>
      <c r="EF121" s="234"/>
      <c r="EG121" s="234"/>
      <c r="EH121" s="234"/>
      <c r="EI121" s="234"/>
      <c r="EJ121" s="234"/>
      <c r="EK121" s="234"/>
      <c r="EL121" s="234"/>
      <c r="EM121" s="234"/>
      <c r="EN121" s="234"/>
      <c r="EO121" s="234"/>
      <c r="EP121" s="234"/>
      <c r="EQ121" s="234"/>
    </row>
    <row r="122" spans="1:147" x14ac:dyDescent="0.25"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4"/>
      <c r="BI122" s="234"/>
      <c r="BJ122" s="234"/>
      <c r="BK122" s="234"/>
      <c r="BL122" s="234"/>
      <c r="BM122" s="234"/>
      <c r="BN122" s="234"/>
      <c r="BO122" s="234"/>
      <c r="BP122" s="234"/>
      <c r="BQ122" s="234"/>
      <c r="BR122" s="234"/>
      <c r="BS122" s="234"/>
      <c r="BT122" s="234"/>
      <c r="BU122" s="234"/>
      <c r="BV122" s="234"/>
      <c r="BW122" s="234"/>
      <c r="BX122" s="234"/>
      <c r="BY122" s="234"/>
      <c r="BZ122" s="234"/>
      <c r="CA122" s="234"/>
      <c r="CB122" s="234"/>
      <c r="CC122" s="234"/>
      <c r="CD122" s="234"/>
      <c r="CE122" s="234"/>
      <c r="CF122" s="234"/>
      <c r="CG122" s="234"/>
      <c r="CH122" s="234"/>
      <c r="CI122" s="234"/>
      <c r="CJ122" s="234"/>
      <c r="CK122" s="234"/>
      <c r="CL122" s="234"/>
      <c r="CM122" s="234"/>
      <c r="CN122" s="234"/>
      <c r="CO122" s="234"/>
      <c r="CP122" s="234"/>
      <c r="CQ122" s="234"/>
      <c r="CR122" s="234"/>
      <c r="CS122" s="234"/>
      <c r="CT122" s="234"/>
      <c r="CU122" s="234"/>
      <c r="CV122" s="234"/>
      <c r="CW122" s="234"/>
      <c r="CX122" s="234"/>
      <c r="CY122" s="234"/>
      <c r="CZ122" s="234"/>
      <c r="DA122" s="234"/>
      <c r="DB122" s="234"/>
      <c r="DC122" s="234"/>
      <c r="DD122" s="234"/>
      <c r="DE122" s="234"/>
      <c r="DF122" s="234"/>
      <c r="DG122" s="234"/>
      <c r="DH122" s="234"/>
      <c r="DI122" s="234"/>
      <c r="DJ122" s="234"/>
      <c r="DK122" s="234"/>
      <c r="DL122" s="234"/>
      <c r="DM122" s="234"/>
      <c r="DN122" s="234"/>
      <c r="DO122" s="234"/>
      <c r="DP122" s="234"/>
      <c r="DQ122" s="234"/>
      <c r="DR122" s="234"/>
      <c r="DS122" s="234"/>
      <c r="DT122" s="234"/>
      <c r="DU122" s="234"/>
      <c r="DV122" s="234"/>
      <c r="DW122" s="234"/>
      <c r="DX122" s="234"/>
      <c r="DY122" s="234"/>
      <c r="DZ122" s="234"/>
      <c r="EA122" s="234"/>
      <c r="EB122" s="234"/>
      <c r="EC122" s="234"/>
      <c r="ED122" s="234"/>
      <c r="EE122" s="234"/>
      <c r="EF122" s="234"/>
      <c r="EG122" s="234"/>
      <c r="EH122" s="234"/>
      <c r="EI122" s="234"/>
      <c r="EJ122" s="234"/>
      <c r="EK122" s="234"/>
      <c r="EL122" s="234"/>
      <c r="EM122" s="234"/>
      <c r="EN122" s="234"/>
      <c r="EO122" s="234"/>
      <c r="EP122" s="234"/>
      <c r="EQ122" s="234"/>
    </row>
    <row r="123" spans="1:147" x14ac:dyDescent="0.25">
      <c r="A123" s="218" t="s">
        <v>360</v>
      </c>
      <c r="B123" s="219"/>
      <c r="C123" s="236">
        <f>DATE(YEAR(C99)+1,MONTH(C99),DAY(C99))</f>
        <v>45383</v>
      </c>
      <c r="D123" s="237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34"/>
      <c r="AM123" s="234"/>
      <c r="AN123" s="234"/>
      <c r="AO123" s="234"/>
      <c r="AP123" s="234"/>
      <c r="AQ123" s="234"/>
      <c r="AR123" s="234"/>
      <c r="AS123" s="234"/>
      <c r="AT123" s="234"/>
      <c r="AU123" s="234"/>
      <c r="AV123" s="234"/>
      <c r="AW123" s="234"/>
      <c r="AX123" s="234"/>
      <c r="AY123" s="234"/>
      <c r="AZ123" s="234"/>
      <c r="BA123" s="234"/>
      <c r="BB123" s="234"/>
      <c r="BC123" s="234"/>
      <c r="BD123" s="234"/>
      <c r="BE123" s="234"/>
      <c r="BF123" s="234"/>
      <c r="BG123" s="234"/>
      <c r="BH123" s="234"/>
      <c r="BI123" s="234"/>
      <c r="BJ123" s="234"/>
      <c r="BK123" s="234"/>
      <c r="BL123" s="234"/>
      <c r="BM123" s="234"/>
      <c r="BN123" s="234"/>
      <c r="BO123" s="234"/>
      <c r="BP123" s="234"/>
      <c r="BQ123" s="234"/>
      <c r="BR123" s="234"/>
      <c r="BS123" s="234"/>
      <c r="BT123" s="234"/>
      <c r="BU123" s="234"/>
      <c r="BV123" s="234"/>
      <c r="BW123" s="234"/>
      <c r="BX123" s="234"/>
      <c r="BY123" s="234"/>
      <c r="BZ123" s="234"/>
      <c r="CA123" s="234"/>
      <c r="CB123" s="234"/>
      <c r="CC123" s="234"/>
      <c r="CD123" s="234"/>
      <c r="CE123" s="234"/>
      <c r="CF123" s="234"/>
      <c r="CG123" s="234"/>
      <c r="CH123" s="234"/>
      <c r="CI123" s="234"/>
      <c r="CJ123" s="234"/>
      <c r="CK123" s="234"/>
      <c r="CL123" s="234"/>
      <c r="CM123" s="234"/>
      <c r="CN123" s="234"/>
      <c r="CO123" s="234"/>
      <c r="CP123" s="234"/>
      <c r="CQ123" s="234"/>
      <c r="CR123" s="234"/>
      <c r="CS123" s="234"/>
      <c r="CT123" s="234"/>
      <c r="CU123" s="234"/>
      <c r="CV123" s="234"/>
      <c r="CW123" s="234"/>
      <c r="CX123" s="234"/>
      <c r="CY123" s="234"/>
      <c r="CZ123" s="234"/>
      <c r="DA123" s="234"/>
      <c r="DB123" s="234"/>
      <c r="DC123" s="234"/>
      <c r="DD123" s="234"/>
      <c r="DE123" s="234"/>
      <c r="DF123" s="234"/>
      <c r="DG123" s="234"/>
      <c r="DH123" s="234"/>
      <c r="DI123" s="234"/>
      <c r="DJ123" s="234"/>
      <c r="DK123" s="234"/>
      <c r="DL123" s="234"/>
      <c r="DM123" s="234"/>
      <c r="DN123" s="234"/>
      <c r="DO123" s="234"/>
      <c r="DP123" s="234"/>
      <c r="DQ123" s="234"/>
      <c r="DR123" s="234"/>
      <c r="DS123" s="234"/>
      <c r="DT123" s="234"/>
      <c r="DU123" s="234"/>
      <c r="DV123" s="234"/>
      <c r="DW123" s="234"/>
      <c r="DX123" s="234"/>
      <c r="DY123" s="234"/>
      <c r="DZ123" s="234"/>
      <c r="EA123" s="234"/>
      <c r="EB123" s="234"/>
      <c r="EC123" s="234"/>
      <c r="ED123" s="234"/>
      <c r="EE123" s="234"/>
      <c r="EF123" s="234"/>
      <c r="EG123" s="234"/>
      <c r="EH123" s="234"/>
      <c r="EI123" s="234"/>
      <c r="EJ123" s="234"/>
      <c r="EK123" s="234"/>
      <c r="EL123" s="234"/>
      <c r="EM123" s="234"/>
      <c r="EN123" s="234"/>
      <c r="EO123" s="234"/>
      <c r="EP123" s="234"/>
      <c r="EQ123" s="234"/>
    </row>
    <row r="124" spans="1:147" x14ac:dyDescent="0.25">
      <c r="A124" s="226" t="s">
        <v>361</v>
      </c>
      <c r="B124" s="227"/>
      <c r="C124" s="228">
        <f>H8</f>
        <v>0</v>
      </c>
      <c r="D124" s="238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  <c r="AG124" s="234"/>
      <c r="AH124" s="234"/>
      <c r="AI124" s="234"/>
      <c r="AJ124" s="234"/>
      <c r="AK124" s="234"/>
      <c r="AL124" s="234"/>
      <c r="AM124" s="234"/>
      <c r="AN124" s="234"/>
      <c r="AO124" s="234"/>
      <c r="AP124" s="234"/>
      <c r="AQ124" s="234"/>
      <c r="AR124" s="234"/>
      <c r="AS124" s="234"/>
      <c r="AT124" s="234"/>
      <c r="AU124" s="234"/>
      <c r="AV124" s="234"/>
      <c r="AW124" s="234"/>
      <c r="AX124" s="234"/>
      <c r="AY124" s="234"/>
      <c r="AZ124" s="234"/>
      <c r="BA124" s="234"/>
      <c r="BB124" s="234"/>
      <c r="BC124" s="234"/>
      <c r="BD124" s="234"/>
      <c r="BE124" s="234"/>
      <c r="BF124" s="234"/>
      <c r="BG124" s="234"/>
      <c r="BH124" s="234"/>
      <c r="BI124" s="234"/>
      <c r="BJ124" s="234"/>
      <c r="BK124" s="234"/>
      <c r="BL124" s="234"/>
      <c r="BM124" s="234"/>
      <c r="BN124" s="234"/>
      <c r="BO124" s="234"/>
      <c r="BP124" s="234"/>
      <c r="BQ124" s="234"/>
      <c r="BR124" s="234"/>
      <c r="BS124" s="234"/>
      <c r="BT124" s="234"/>
      <c r="BU124" s="234"/>
      <c r="BV124" s="234"/>
      <c r="BW124" s="234"/>
      <c r="BX124" s="234"/>
      <c r="BY124" s="234"/>
      <c r="BZ124" s="234"/>
      <c r="CA124" s="234"/>
      <c r="CB124" s="234"/>
      <c r="CC124" s="234"/>
      <c r="CD124" s="234"/>
      <c r="CE124" s="234"/>
      <c r="CF124" s="234"/>
      <c r="CG124" s="234"/>
      <c r="CH124" s="234"/>
      <c r="CI124" s="234"/>
      <c r="CJ124" s="234"/>
      <c r="CK124" s="234"/>
      <c r="CL124" s="234"/>
      <c r="CM124" s="234"/>
      <c r="CN124" s="234"/>
      <c r="CO124" s="234"/>
      <c r="CP124" s="234"/>
      <c r="CQ124" s="234"/>
      <c r="CR124" s="234"/>
      <c r="CS124" s="234"/>
      <c r="CT124" s="234"/>
      <c r="CU124" s="234"/>
      <c r="CV124" s="234"/>
      <c r="CW124" s="234"/>
      <c r="CX124" s="234"/>
      <c r="CY124" s="234"/>
      <c r="CZ124" s="234"/>
      <c r="DA124" s="234"/>
      <c r="DB124" s="234"/>
      <c r="DC124" s="234"/>
      <c r="DD124" s="234"/>
      <c r="DE124" s="234"/>
      <c r="DF124" s="234"/>
      <c r="DG124" s="234"/>
      <c r="DH124" s="234"/>
      <c r="DI124" s="234"/>
      <c r="DJ124" s="234"/>
      <c r="DK124" s="234"/>
      <c r="DL124" s="234"/>
      <c r="DM124" s="234"/>
      <c r="DN124" s="234"/>
      <c r="DO124" s="234"/>
      <c r="DP124" s="234"/>
      <c r="DQ124" s="234"/>
      <c r="DR124" s="234"/>
      <c r="DS124" s="234"/>
      <c r="DT124" s="234"/>
      <c r="DU124" s="234"/>
      <c r="DV124" s="234"/>
      <c r="DW124" s="234"/>
      <c r="DX124" s="234"/>
      <c r="DY124" s="234"/>
      <c r="DZ124" s="234"/>
      <c r="EA124" s="234"/>
      <c r="EB124" s="234"/>
      <c r="EC124" s="234"/>
      <c r="ED124" s="234"/>
      <c r="EE124" s="234"/>
      <c r="EF124" s="234"/>
      <c r="EG124" s="234"/>
      <c r="EH124" s="234"/>
      <c r="EI124" s="234"/>
      <c r="EJ124" s="234"/>
      <c r="EK124" s="234"/>
      <c r="EL124" s="234"/>
      <c r="EM124" s="234"/>
      <c r="EN124" s="234"/>
      <c r="EO124" s="234"/>
      <c r="EP124" s="234"/>
      <c r="EQ124" s="234"/>
    </row>
    <row r="125" spans="1:147" x14ac:dyDescent="0.25">
      <c r="A125" s="239" t="s">
        <v>362</v>
      </c>
      <c r="B125" s="240"/>
      <c r="C125" s="241">
        <v>6</v>
      </c>
      <c r="D125" s="238" t="s">
        <v>363</v>
      </c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  <c r="AR125" s="234"/>
      <c r="AS125" s="234"/>
      <c r="AT125" s="234"/>
      <c r="AU125" s="234"/>
      <c r="AV125" s="234"/>
      <c r="AW125" s="234"/>
      <c r="AX125" s="234"/>
      <c r="AY125" s="234"/>
      <c r="AZ125" s="234"/>
      <c r="BA125" s="234"/>
      <c r="BB125" s="234"/>
      <c r="BC125" s="234"/>
      <c r="BD125" s="234"/>
      <c r="BE125" s="234"/>
      <c r="BF125" s="234"/>
      <c r="BG125" s="234"/>
      <c r="BH125" s="234"/>
      <c r="BI125" s="234"/>
      <c r="BJ125" s="234"/>
      <c r="BK125" s="234"/>
      <c r="BL125" s="234"/>
      <c r="BM125" s="234"/>
      <c r="BN125" s="234"/>
      <c r="BO125" s="234"/>
      <c r="BP125" s="234"/>
      <c r="BQ125" s="234"/>
      <c r="BR125" s="234"/>
      <c r="BS125" s="234"/>
      <c r="BT125" s="234"/>
      <c r="BU125" s="234"/>
      <c r="BV125" s="234"/>
      <c r="BW125" s="234"/>
      <c r="BX125" s="234"/>
      <c r="BY125" s="234"/>
      <c r="BZ125" s="234"/>
      <c r="CA125" s="234"/>
      <c r="CB125" s="234"/>
      <c r="CC125" s="234"/>
      <c r="CD125" s="234"/>
      <c r="CE125" s="234"/>
      <c r="CF125" s="234"/>
      <c r="CG125" s="234"/>
      <c r="CH125" s="234"/>
      <c r="CI125" s="234"/>
      <c r="CJ125" s="234"/>
      <c r="CK125" s="234"/>
      <c r="CL125" s="234"/>
      <c r="CM125" s="234"/>
      <c r="CN125" s="234"/>
      <c r="CO125" s="234"/>
      <c r="CP125" s="234"/>
      <c r="CQ125" s="234"/>
      <c r="CR125" s="234"/>
      <c r="CS125" s="234"/>
      <c r="CT125" s="234"/>
      <c r="CU125" s="234"/>
      <c r="CV125" s="234"/>
      <c r="CW125" s="234"/>
      <c r="CX125" s="234"/>
      <c r="CY125" s="234"/>
      <c r="CZ125" s="234"/>
      <c r="DA125" s="234"/>
      <c r="DB125" s="234"/>
      <c r="DC125" s="234"/>
      <c r="DD125" s="234"/>
      <c r="DE125" s="234"/>
      <c r="DF125" s="234"/>
      <c r="DG125" s="234"/>
      <c r="DH125" s="234"/>
      <c r="DI125" s="234"/>
      <c r="DJ125" s="234"/>
      <c r="DK125" s="234"/>
      <c r="DL125" s="234"/>
      <c r="DM125" s="234"/>
      <c r="DN125" s="234"/>
      <c r="DO125" s="234"/>
      <c r="DP125" s="234"/>
      <c r="DQ125" s="234"/>
      <c r="DR125" s="234"/>
      <c r="DS125" s="234"/>
      <c r="DT125" s="234"/>
      <c r="DU125" s="234"/>
      <c r="DV125" s="234"/>
      <c r="DW125" s="234"/>
      <c r="DX125" s="234"/>
      <c r="DY125" s="234"/>
      <c r="DZ125" s="234"/>
      <c r="EA125" s="234"/>
      <c r="EB125" s="234"/>
      <c r="EC125" s="234"/>
      <c r="ED125" s="234"/>
      <c r="EE125" s="234"/>
      <c r="EF125" s="234"/>
      <c r="EG125" s="234"/>
      <c r="EH125" s="234"/>
      <c r="EI125" s="234"/>
      <c r="EJ125" s="234"/>
      <c r="EK125" s="234"/>
      <c r="EL125" s="234"/>
      <c r="EM125" s="234"/>
      <c r="EN125" s="234"/>
      <c r="EO125" s="234"/>
      <c r="EP125" s="234"/>
      <c r="EQ125" s="234"/>
    </row>
    <row r="126" spans="1:147" x14ac:dyDescent="0.25">
      <c r="A126" s="223"/>
      <c r="B126" s="224"/>
      <c r="C126" s="241">
        <f>C125*2</f>
        <v>12</v>
      </c>
      <c r="D126" s="238" t="s">
        <v>364</v>
      </c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34"/>
      <c r="AM126" s="234"/>
      <c r="AN126" s="234"/>
      <c r="AO126" s="234"/>
      <c r="AP126" s="234"/>
      <c r="AQ126" s="234"/>
      <c r="AR126" s="234"/>
      <c r="AS126" s="234"/>
      <c r="AT126" s="234"/>
      <c r="AU126" s="234"/>
      <c r="AV126" s="234"/>
      <c r="AW126" s="234"/>
      <c r="AX126" s="234"/>
      <c r="AY126" s="234"/>
      <c r="AZ126" s="234"/>
      <c r="BA126" s="234"/>
      <c r="BB126" s="234"/>
      <c r="BC126" s="234"/>
      <c r="BD126" s="234"/>
      <c r="BE126" s="234"/>
      <c r="BF126" s="234"/>
      <c r="BG126" s="234"/>
      <c r="BH126" s="234"/>
      <c r="BI126" s="234"/>
      <c r="BJ126" s="234"/>
      <c r="BK126" s="234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4"/>
      <c r="BW126" s="234"/>
      <c r="BX126" s="234"/>
      <c r="BY126" s="234"/>
      <c r="BZ126" s="234"/>
      <c r="CA126" s="234"/>
      <c r="CB126" s="234"/>
      <c r="CC126" s="234"/>
      <c r="CD126" s="234"/>
      <c r="CE126" s="234"/>
      <c r="CF126" s="234"/>
      <c r="CG126" s="234"/>
      <c r="CH126" s="234"/>
      <c r="CI126" s="234"/>
      <c r="CJ126" s="234"/>
      <c r="CK126" s="234"/>
      <c r="CL126" s="234"/>
      <c r="CM126" s="234"/>
      <c r="CN126" s="234"/>
      <c r="CO126" s="234"/>
      <c r="CP126" s="234"/>
      <c r="CQ126" s="234"/>
      <c r="CR126" s="234"/>
      <c r="CS126" s="234"/>
      <c r="CT126" s="234"/>
      <c r="CU126" s="234"/>
      <c r="CV126" s="234"/>
      <c r="CW126" s="234"/>
      <c r="CX126" s="234"/>
      <c r="CY126" s="234"/>
      <c r="CZ126" s="234"/>
      <c r="DA126" s="234"/>
      <c r="DB126" s="234"/>
      <c r="DC126" s="234"/>
      <c r="DD126" s="234"/>
      <c r="DE126" s="234"/>
      <c r="DF126" s="234"/>
      <c r="DG126" s="234"/>
      <c r="DH126" s="234"/>
      <c r="DI126" s="234"/>
      <c r="DJ126" s="234"/>
      <c r="DK126" s="234"/>
      <c r="DL126" s="234"/>
      <c r="DM126" s="234"/>
      <c r="DN126" s="234"/>
      <c r="DO126" s="234"/>
      <c r="DP126" s="234"/>
      <c r="DQ126" s="234"/>
      <c r="DR126" s="234"/>
      <c r="DS126" s="234"/>
      <c r="DT126" s="234"/>
      <c r="DU126" s="234"/>
      <c r="DV126" s="234"/>
      <c r="DW126" s="234"/>
      <c r="DX126" s="234"/>
      <c r="DY126" s="234"/>
      <c r="DZ126" s="234"/>
      <c r="EA126" s="234"/>
      <c r="EB126" s="234"/>
      <c r="EC126" s="234"/>
      <c r="ED126" s="234"/>
      <c r="EE126" s="234"/>
      <c r="EF126" s="234"/>
      <c r="EG126" s="234"/>
      <c r="EH126" s="234"/>
      <c r="EI126" s="234"/>
      <c r="EJ126" s="234"/>
      <c r="EK126" s="234"/>
      <c r="EL126" s="234"/>
      <c r="EM126" s="234"/>
      <c r="EN126" s="234"/>
      <c r="EO126" s="234"/>
      <c r="EP126" s="234"/>
      <c r="EQ126" s="234"/>
    </row>
    <row r="127" spans="1:147" x14ac:dyDescent="0.25">
      <c r="A127" s="239" t="s">
        <v>365</v>
      </c>
      <c r="B127" s="240"/>
      <c r="C127" s="241">
        <v>0</v>
      </c>
      <c r="D127" s="238" t="s">
        <v>363</v>
      </c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34"/>
      <c r="AM127" s="234"/>
      <c r="AN127" s="234"/>
      <c r="AO127" s="234"/>
      <c r="AP127" s="234"/>
      <c r="AQ127" s="234"/>
      <c r="AR127" s="234"/>
      <c r="AS127" s="234"/>
      <c r="AT127" s="234"/>
      <c r="AU127" s="234"/>
      <c r="AV127" s="234"/>
      <c r="AW127" s="234"/>
      <c r="AX127" s="234"/>
      <c r="AY127" s="234"/>
      <c r="AZ127" s="234"/>
      <c r="BA127" s="234"/>
      <c r="BB127" s="234"/>
      <c r="BC127" s="234"/>
      <c r="BD127" s="234"/>
      <c r="BE127" s="234"/>
      <c r="BF127" s="234"/>
      <c r="BG127" s="234"/>
      <c r="BH127" s="234"/>
      <c r="BI127" s="234"/>
      <c r="BJ127" s="234"/>
      <c r="BK127" s="234"/>
      <c r="BL127" s="234"/>
      <c r="BM127" s="234"/>
      <c r="BN127" s="234"/>
      <c r="BO127" s="234"/>
      <c r="BP127" s="234"/>
      <c r="BQ127" s="234"/>
      <c r="BR127" s="234"/>
      <c r="BS127" s="234"/>
      <c r="BT127" s="234"/>
      <c r="BU127" s="234"/>
      <c r="BV127" s="234"/>
      <c r="BW127" s="234"/>
      <c r="BX127" s="234"/>
      <c r="BY127" s="234"/>
      <c r="BZ127" s="234"/>
      <c r="CA127" s="234"/>
      <c r="CB127" s="234"/>
      <c r="CC127" s="234"/>
      <c r="CD127" s="234"/>
      <c r="CE127" s="234"/>
      <c r="CF127" s="234"/>
      <c r="CG127" s="234"/>
      <c r="CH127" s="234"/>
      <c r="CI127" s="234"/>
      <c r="CJ127" s="234"/>
      <c r="CK127" s="234"/>
      <c r="CL127" s="234"/>
      <c r="CM127" s="234"/>
      <c r="CN127" s="234"/>
      <c r="CO127" s="234"/>
      <c r="CP127" s="234"/>
      <c r="CQ127" s="234"/>
      <c r="CR127" s="234"/>
      <c r="CS127" s="234"/>
      <c r="CT127" s="234"/>
      <c r="CU127" s="234"/>
      <c r="CV127" s="234"/>
      <c r="CW127" s="234"/>
      <c r="CX127" s="234"/>
      <c r="CY127" s="234"/>
      <c r="CZ127" s="234"/>
      <c r="DA127" s="234"/>
      <c r="DB127" s="234"/>
      <c r="DC127" s="234"/>
      <c r="DD127" s="234"/>
      <c r="DE127" s="234"/>
      <c r="DF127" s="234"/>
      <c r="DG127" s="234"/>
      <c r="DH127" s="234"/>
      <c r="DI127" s="234"/>
      <c r="DJ127" s="234"/>
      <c r="DK127" s="234"/>
      <c r="DL127" s="234"/>
      <c r="DM127" s="234"/>
      <c r="DN127" s="234"/>
      <c r="DO127" s="234"/>
      <c r="DP127" s="234"/>
      <c r="DQ127" s="234"/>
      <c r="DR127" s="234"/>
      <c r="DS127" s="234"/>
      <c r="DT127" s="234"/>
      <c r="DU127" s="234"/>
      <c r="DV127" s="234"/>
      <c r="DW127" s="234"/>
      <c r="DX127" s="234"/>
      <c r="DY127" s="234"/>
      <c r="DZ127" s="234"/>
      <c r="EA127" s="234"/>
      <c r="EB127" s="234"/>
      <c r="EC127" s="234"/>
      <c r="ED127" s="234"/>
      <c r="EE127" s="234"/>
      <c r="EF127" s="234"/>
      <c r="EG127" s="234"/>
      <c r="EH127" s="234"/>
      <c r="EI127" s="234"/>
      <c r="EJ127" s="234"/>
      <c r="EK127" s="234"/>
      <c r="EL127" s="234"/>
      <c r="EM127" s="234"/>
      <c r="EN127" s="234"/>
      <c r="EO127" s="234"/>
      <c r="EP127" s="234"/>
      <c r="EQ127" s="234"/>
    </row>
    <row r="128" spans="1:147" x14ac:dyDescent="0.25">
      <c r="A128" s="223"/>
      <c r="B128" s="224"/>
      <c r="C128" s="241">
        <f>C127*2</f>
        <v>0</v>
      </c>
      <c r="D128" s="238" t="s">
        <v>364</v>
      </c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4"/>
      <c r="AR128" s="234"/>
      <c r="AS128" s="234"/>
      <c r="AT128" s="234"/>
      <c r="AU128" s="234"/>
      <c r="AV128" s="234"/>
      <c r="AW128" s="234"/>
      <c r="AX128" s="234"/>
      <c r="AY128" s="234"/>
      <c r="AZ128" s="234"/>
      <c r="BA128" s="234"/>
      <c r="BB128" s="234"/>
      <c r="BC128" s="234"/>
      <c r="BD128" s="234"/>
      <c r="BE128" s="234"/>
      <c r="BF128" s="234"/>
      <c r="BG128" s="234"/>
      <c r="BH128" s="234"/>
      <c r="BI128" s="234"/>
      <c r="BJ128" s="234"/>
      <c r="BK128" s="234"/>
      <c r="BL128" s="234"/>
      <c r="BM128" s="234"/>
      <c r="BN128" s="234"/>
      <c r="BO128" s="234"/>
      <c r="BP128" s="234"/>
      <c r="BQ128" s="234"/>
      <c r="BR128" s="234"/>
      <c r="BS128" s="234"/>
      <c r="BT128" s="234"/>
      <c r="BU128" s="234"/>
      <c r="BV128" s="234"/>
      <c r="BW128" s="234"/>
      <c r="BX128" s="234"/>
      <c r="BY128" s="234"/>
      <c r="BZ128" s="234"/>
      <c r="CA128" s="234"/>
      <c r="CB128" s="234"/>
      <c r="CC128" s="234"/>
      <c r="CD128" s="234"/>
      <c r="CE128" s="234"/>
      <c r="CF128" s="234"/>
      <c r="CG128" s="234"/>
      <c r="CH128" s="234"/>
      <c r="CI128" s="234"/>
      <c r="CJ128" s="234"/>
      <c r="CK128" s="234"/>
      <c r="CL128" s="234"/>
      <c r="CM128" s="234"/>
      <c r="CN128" s="234"/>
      <c r="CO128" s="234"/>
      <c r="CP128" s="234"/>
      <c r="CQ128" s="234"/>
      <c r="CR128" s="234"/>
      <c r="CS128" s="234"/>
      <c r="CT128" s="234"/>
      <c r="CU128" s="234"/>
      <c r="CV128" s="234"/>
      <c r="CW128" s="234"/>
      <c r="CX128" s="234"/>
      <c r="CY128" s="234"/>
      <c r="CZ128" s="234"/>
      <c r="DA128" s="234"/>
      <c r="DB128" s="234"/>
      <c r="DC128" s="234"/>
      <c r="DD128" s="234"/>
      <c r="DE128" s="234"/>
      <c r="DF128" s="234"/>
      <c r="DG128" s="234"/>
      <c r="DH128" s="234"/>
      <c r="DI128" s="234"/>
      <c r="DJ128" s="234"/>
      <c r="DK128" s="234"/>
      <c r="DL128" s="234"/>
      <c r="DM128" s="234"/>
      <c r="DN128" s="234"/>
      <c r="DO128" s="234"/>
      <c r="DP128" s="234"/>
      <c r="DQ128" s="234"/>
      <c r="DR128" s="234"/>
      <c r="DS128" s="234"/>
      <c r="DT128" s="234"/>
      <c r="DU128" s="234"/>
      <c r="DV128" s="234"/>
      <c r="DW128" s="234"/>
      <c r="DX128" s="234"/>
      <c r="DY128" s="234"/>
      <c r="DZ128" s="234"/>
      <c r="EA128" s="234"/>
      <c r="EB128" s="234"/>
      <c r="EC128" s="234"/>
      <c r="ED128" s="234"/>
      <c r="EE128" s="234"/>
      <c r="EF128" s="234"/>
      <c r="EG128" s="234"/>
      <c r="EH128" s="234"/>
      <c r="EI128" s="234"/>
      <c r="EJ128" s="234"/>
      <c r="EK128" s="234"/>
      <c r="EL128" s="234"/>
      <c r="EM128" s="234"/>
      <c r="EN128" s="234"/>
      <c r="EO128" s="234"/>
      <c r="EP128" s="234"/>
      <c r="EQ128" s="234"/>
    </row>
    <row r="129" spans="1:147" x14ac:dyDescent="0.25">
      <c r="A129" s="217" t="s">
        <v>366</v>
      </c>
      <c r="B129" s="242"/>
      <c r="C129" s="243">
        <f>C105</f>
        <v>0.09</v>
      </c>
      <c r="D129" s="238" t="s">
        <v>367</v>
      </c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34"/>
      <c r="AM129" s="234"/>
      <c r="AN129" s="234"/>
      <c r="AO129" s="234"/>
      <c r="AP129" s="234"/>
      <c r="AQ129" s="234"/>
      <c r="AR129" s="234"/>
      <c r="AS129" s="234"/>
      <c r="AT129" s="234"/>
      <c r="AU129" s="234"/>
      <c r="AV129" s="234"/>
      <c r="AW129" s="234"/>
      <c r="AX129" s="234"/>
      <c r="AY129" s="234"/>
      <c r="AZ129" s="234"/>
      <c r="BA129" s="234"/>
      <c r="BB129" s="234"/>
      <c r="BC129" s="234"/>
      <c r="BD129" s="234"/>
      <c r="BE129" s="234"/>
      <c r="BF129" s="234"/>
      <c r="BG129" s="234"/>
      <c r="BH129" s="234"/>
      <c r="BI129" s="234"/>
      <c r="BJ129" s="234"/>
      <c r="BK129" s="234"/>
      <c r="BL129" s="234"/>
      <c r="BM129" s="234"/>
      <c r="BN129" s="234"/>
      <c r="BO129" s="234"/>
      <c r="BP129" s="234"/>
      <c r="BQ129" s="234"/>
      <c r="BR129" s="234"/>
      <c r="BS129" s="234"/>
      <c r="BT129" s="234"/>
      <c r="BU129" s="234"/>
      <c r="BV129" s="234"/>
      <c r="BW129" s="234"/>
      <c r="BX129" s="234"/>
      <c r="BY129" s="234"/>
      <c r="BZ129" s="234"/>
      <c r="CA129" s="234"/>
      <c r="CB129" s="234"/>
      <c r="CC129" s="234"/>
      <c r="CD129" s="234"/>
      <c r="CE129" s="234"/>
      <c r="CF129" s="234"/>
      <c r="CG129" s="234"/>
      <c r="CH129" s="234"/>
      <c r="CI129" s="234"/>
      <c r="CJ129" s="234"/>
      <c r="CK129" s="234"/>
      <c r="CL129" s="234"/>
      <c r="CM129" s="234"/>
      <c r="CN129" s="234"/>
      <c r="CO129" s="234"/>
      <c r="CP129" s="234"/>
      <c r="CQ129" s="234"/>
      <c r="CR129" s="234"/>
      <c r="CS129" s="234"/>
      <c r="CT129" s="234"/>
      <c r="CU129" s="234"/>
      <c r="CV129" s="234"/>
      <c r="CW129" s="234"/>
      <c r="CX129" s="234"/>
      <c r="CY129" s="234"/>
      <c r="CZ129" s="234"/>
      <c r="DA129" s="234"/>
      <c r="DB129" s="234"/>
      <c r="DC129" s="234"/>
      <c r="DD129" s="234"/>
      <c r="DE129" s="234"/>
      <c r="DF129" s="234"/>
      <c r="DG129" s="234"/>
      <c r="DH129" s="234"/>
      <c r="DI129" s="234"/>
      <c r="DJ129" s="234"/>
      <c r="DK129" s="234"/>
      <c r="DL129" s="234"/>
      <c r="DM129" s="234"/>
      <c r="DN129" s="234"/>
      <c r="DO129" s="234"/>
      <c r="DP129" s="234"/>
      <c r="DQ129" s="234"/>
      <c r="DR129" s="234"/>
      <c r="DS129" s="234"/>
      <c r="DT129" s="234"/>
      <c r="DU129" s="234"/>
      <c r="DV129" s="234"/>
      <c r="DW129" s="234"/>
      <c r="DX129" s="234"/>
      <c r="DY129" s="234"/>
      <c r="DZ129" s="234"/>
      <c r="EA129" s="234"/>
      <c r="EB129" s="234"/>
      <c r="EC129" s="234"/>
      <c r="ED129" s="234"/>
      <c r="EE129" s="234"/>
      <c r="EF129" s="234"/>
      <c r="EG129" s="234"/>
      <c r="EH129" s="234"/>
      <c r="EI129" s="234"/>
      <c r="EJ129" s="234"/>
      <c r="EK129" s="234"/>
      <c r="EL129" s="234"/>
      <c r="EM129" s="234"/>
      <c r="EN129" s="234"/>
      <c r="EO129" s="234"/>
      <c r="EP129" s="234"/>
      <c r="EQ129" s="234"/>
    </row>
    <row r="130" spans="1:147" x14ac:dyDescent="0.25">
      <c r="A130" s="217"/>
      <c r="B130" s="242"/>
      <c r="C130" s="244">
        <f>((1+C129)^(1/2))-1</f>
        <v>4.4030650891055068E-2</v>
      </c>
      <c r="D130" s="238" t="s">
        <v>368</v>
      </c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34"/>
      <c r="AS130" s="234"/>
      <c r="AT130" s="234"/>
      <c r="AU130" s="234"/>
      <c r="AV130" s="234"/>
      <c r="AW130" s="234"/>
      <c r="AX130" s="234"/>
      <c r="AY130" s="234"/>
      <c r="AZ130" s="234"/>
      <c r="BA130" s="234"/>
      <c r="BB130" s="234"/>
      <c r="BC130" s="234"/>
      <c r="BD130" s="234"/>
      <c r="BE130" s="234"/>
      <c r="BF130" s="234"/>
      <c r="BG130" s="234"/>
      <c r="BH130" s="234"/>
      <c r="BI130" s="234"/>
      <c r="BJ130" s="234"/>
      <c r="BK130" s="234"/>
      <c r="BL130" s="234"/>
      <c r="BM130" s="234"/>
      <c r="BN130" s="234"/>
      <c r="BO130" s="234"/>
      <c r="BP130" s="234"/>
      <c r="BQ130" s="234"/>
      <c r="BR130" s="234"/>
      <c r="BS130" s="234"/>
      <c r="BT130" s="234"/>
      <c r="BU130" s="234"/>
      <c r="BV130" s="234"/>
      <c r="BW130" s="234"/>
      <c r="BX130" s="234"/>
      <c r="BY130" s="234"/>
      <c r="BZ130" s="234"/>
      <c r="CA130" s="234"/>
      <c r="CB130" s="234"/>
      <c r="CC130" s="234"/>
      <c r="CD130" s="234"/>
      <c r="CE130" s="234"/>
      <c r="CF130" s="234"/>
      <c r="CG130" s="234"/>
      <c r="CH130" s="234"/>
      <c r="CI130" s="234"/>
      <c r="CJ130" s="234"/>
      <c r="CK130" s="234"/>
      <c r="CL130" s="234"/>
      <c r="CM130" s="234"/>
      <c r="CN130" s="234"/>
      <c r="CO130" s="234"/>
      <c r="CP130" s="234"/>
      <c r="CQ130" s="234"/>
      <c r="CR130" s="234"/>
      <c r="CS130" s="234"/>
      <c r="CT130" s="234"/>
      <c r="CU130" s="234"/>
      <c r="CV130" s="234"/>
      <c r="CW130" s="234"/>
      <c r="CX130" s="234"/>
      <c r="CY130" s="234"/>
      <c r="CZ130" s="234"/>
      <c r="DA130" s="234"/>
      <c r="DB130" s="234"/>
      <c r="DC130" s="234"/>
      <c r="DD130" s="234"/>
      <c r="DE130" s="234"/>
      <c r="DF130" s="234"/>
      <c r="DG130" s="234"/>
      <c r="DH130" s="234"/>
      <c r="DI130" s="234"/>
      <c r="DJ130" s="234"/>
      <c r="DK130" s="234"/>
      <c r="DL130" s="234"/>
      <c r="DM130" s="234"/>
      <c r="DN130" s="234"/>
      <c r="DO130" s="234"/>
      <c r="DP130" s="234"/>
      <c r="DQ130" s="234"/>
      <c r="DR130" s="234"/>
      <c r="DS130" s="234"/>
      <c r="DT130" s="234"/>
      <c r="DU130" s="234"/>
      <c r="DV130" s="234"/>
      <c r="DW130" s="234"/>
      <c r="DX130" s="234"/>
      <c r="DY130" s="234"/>
      <c r="DZ130" s="234"/>
      <c r="EA130" s="234"/>
      <c r="EB130" s="234"/>
      <c r="EC130" s="234"/>
      <c r="ED130" s="234"/>
      <c r="EE130" s="234"/>
      <c r="EF130" s="234"/>
      <c r="EG130" s="234"/>
      <c r="EH130" s="234"/>
      <c r="EI130" s="234"/>
      <c r="EJ130" s="234"/>
      <c r="EK130" s="234"/>
      <c r="EL130" s="234"/>
      <c r="EM130" s="234"/>
      <c r="EN130" s="234"/>
      <c r="EO130" s="234"/>
      <c r="EP130" s="234"/>
      <c r="EQ130" s="234"/>
    </row>
    <row r="131" spans="1:147" x14ac:dyDescent="0.25">
      <c r="A131" s="239" t="s">
        <v>369</v>
      </c>
      <c r="B131" s="240"/>
      <c r="C131" s="244">
        <f>C107</f>
        <v>0.09</v>
      </c>
      <c r="D131" s="238" t="s">
        <v>367</v>
      </c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34"/>
      <c r="AM131" s="234"/>
      <c r="AN131" s="234"/>
      <c r="AO131" s="234"/>
      <c r="AP131" s="234"/>
      <c r="AQ131" s="234"/>
      <c r="AR131" s="234"/>
      <c r="AS131" s="234"/>
      <c r="AT131" s="234"/>
      <c r="AU131" s="234"/>
      <c r="AV131" s="234"/>
      <c r="AW131" s="234"/>
      <c r="AX131" s="234"/>
      <c r="AY131" s="234"/>
      <c r="AZ131" s="234"/>
      <c r="BA131" s="234"/>
      <c r="BB131" s="234"/>
      <c r="BC131" s="234"/>
      <c r="BD131" s="234"/>
      <c r="BE131" s="234"/>
      <c r="BF131" s="234"/>
      <c r="BG131" s="234"/>
      <c r="BH131" s="234"/>
      <c r="BI131" s="234"/>
      <c r="BJ131" s="234"/>
      <c r="BK131" s="234"/>
      <c r="BL131" s="234"/>
      <c r="BM131" s="234"/>
      <c r="BN131" s="234"/>
      <c r="BO131" s="234"/>
      <c r="BP131" s="234"/>
      <c r="BQ131" s="234"/>
      <c r="BR131" s="234"/>
      <c r="BS131" s="234"/>
      <c r="BT131" s="234"/>
      <c r="BU131" s="234"/>
      <c r="BV131" s="234"/>
      <c r="BW131" s="234"/>
      <c r="BX131" s="234"/>
      <c r="BY131" s="234"/>
      <c r="BZ131" s="234"/>
      <c r="CA131" s="234"/>
      <c r="CB131" s="234"/>
      <c r="CC131" s="234"/>
      <c r="CD131" s="234"/>
      <c r="CE131" s="234"/>
      <c r="CF131" s="234"/>
      <c r="CG131" s="234"/>
      <c r="CH131" s="234"/>
      <c r="CI131" s="234"/>
      <c r="CJ131" s="234"/>
      <c r="CK131" s="234"/>
      <c r="CL131" s="234"/>
      <c r="CM131" s="234"/>
      <c r="CN131" s="234"/>
      <c r="CO131" s="234"/>
      <c r="CP131" s="234"/>
      <c r="CQ131" s="234"/>
      <c r="CR131" s="234"/>
      <c r="CS131" s="234"/>
      <c r="CT131" s="234"/>
      <c r="CU131" s="234"/>
      <c r="CV131" s="234"/>
      <c r="CW131" s="234"/>
      <c r="CX131" s="234"/>
      <c r="CY131" s="234"/>
      <c r="CZ131" s="234"/>
      <c r="DA131" s="234"/>
      <c r="DB131" s="234"/>
      <c r="DC131" s="234"/>
      <c r="DD131" s="234"/>
      <c r="DE131" s="234"/>
      <c r="DF131" s="234"/>
      <c r="DG131" s="234"/>
      <c r="DH131" s="234"/>
      <c r="DI131" s="234"/>
      <c r="DJ131" s="234"/>
      <c r="DK131" s="234"/>
      <c r="DL131" s="234"/>
      <c r="DM131" s="234"/>
      <c r="DN131" s="234"/>
      <c r="DO131" s="234"/>
      <c r="DP131" s="234"/>
      <c r="DQ131" s="234"/>
      <c r="DR131" s="234"/>
      <c r="DS131" s="234"/>
      <c r="DT131" s="234"/>
      <c r="DU131" s="234"/>
      <c r="DV131" s="234"/>
      <c r="DW131" s="234"/>
      <c r="DX131" s="234"/>
      <c r="DY131" s="234"/>
      <c r="DZ131" s="234"/>
      <c r="EA131" s="234"/>
      <c r="EB131" s="234"/>
      <c r="EC131" s="234"/>
      <c r="ED131" s="234"/>
      <c r="EE131" s="234"/>
      <c r="EF131" s="234"/>
      <c r="EG131" s="234"/>
      <c r="EH131" s="234"/>
      <c r="EI131" s="234"/>
      <c r="EJ131" s="234"/>
      <c r="EK131" s="234"/>
      <c r="EL131" s="234"/>
      <c r="EM131" s="234"/>
      <c r="EN131" s="234"/>
      <c r="EO131" s="234"/>
      <c r="EP131" s="234"/>
      <c r="EQ131" s="234"/>
    </row>
    <row r="132" spans="1:147" x14ac:dyDescent="0.25">
      <c r="A132" s="223"/>
      <c r="B132" s="224"/>
      <c r="C132" s="244">
        <f>((1+C131)^(1/2))-1</f>
        <v>4.4030650891055068E-2</v>
      </c>
      <c r="D132" s="238" t="s">
        <v>368</v>
      </c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34"/>
      <c r="AS132" s="234"/>
      <c r="AT132" s="234"/>
      <c r="AU132" s="234"/>
      <c r="AV132" s="234"/>
      <c r="AW132" s="234"/>
      <c r="AX132" s="234"/>
      <c r="AY132" s="234"/>
      <c r="AZ132" s="234"/>
      <c r="BA132" s="234"/>
      <c r="BB132" s="234"/>
      <c r="BC132" s="234"/>
      <c r="BD132" s="234"/>
      <c r="BE132" s="234"/>
      <c r="BF132" s="234"/>
      <c r="BG132" s="234"/>
      <c r="BH132" s="234"/>
      <c r="BI132" s="234"/>
      <c r="BJ132" s="234"/>
      <c r="BK132" s="234"/>
      <c r="BL132" s="234"/>
      <c r="BM132" s="234"/>
      <c r="BN132" s="234"/>
      <c r="BO132" s="234"/>
      <c r="BP132" s="234"/>
      <c r="BQ132" s="234"/>
      <c r="BR132" s="234"/>
      <c r="BS132" s="234"/>
      <c r="BT132" s="234"/>
      <c r="BU132" s="234"/>
      <c r="BV132" s="234"/>
      <c r="BW132" s="234"/>
      <c r="BX132" s="234"/>
      <c r="BY132" s="234"/>
      <c r="BZ132" s="234"/>
      <c r="CA132" s="234"/>
      <c r="CB132" s="234"/>
      <c r="CC132" s="234"/>
      <c r="CD132" s="234"/>
      <c r="CE132" s="234"/>
      <c r="CF132" s="234"/>
      <c r="CG132" s="234"/>
      <c r="CH132" s="234"/>
      <c r="CI132" s="234"/>
      <c r="CJ132" s="234"/>
      <c r="CK132" s="234"/>
      <c r="CL132" s="234"/>
      <c r="CM132" s="234"/>
      <c r="CN132" s="234"/>
      <c r="CO132" s="234"/>
      <c r="CP132" s="234"/>
      <c r="CQ132" s="234"/>
      <c r="CR132" s="234"/>
      <c r="CS132" s="234"/>
      <c r="CT132" s="234"/>
      <c r="CU132" s="234"/>
      <c r="CV132" s="234"/>
      <c r="CW132" s="234"/>
      <c r="CX132" s="234"/>
      <c r="CY132" s="234"/>
      <c r="CZ132" s="234"/>
      <c r="DA132" s="234"/>
      <c r="DB132" s="234"/>
      <c r="DC132" s="234"/>
      <c r="DD132" s="234"/>
      <c r="DE132" s="234"/>
      <c r="DF132" s="234"/>
      <c r="DG132" s="234"/>
      <c r="DH132" s="234"/>
      <c r="DI132" s="234"/>
      <c r="DJ132" s="234"/>
      <c r="DK132" s="234"/>
      <c r="DL132" s="234"/>
      <c r="DM132" s="234"/>
      <c r="DN132" s="234"/>
      <c r="DO132" s="234"/>
      <c r="DP132" s="234"/>
      <c r="DQ132" s="234"/>
      <c r="DR132" s="234"/>
      <c r="DS132" s="234"/>
      <c r="DT132" s="234"/>
      <c r="DU132" s="234"/>
      <c r="DV132" s="234"/>
      <c r="DW132" s="234"/>
      <c r="DX132" s="234"/>
      <c r="DY132" s="234"/>
      <c r="DZ132" s="234"/>
      <c r="EA132" s="234"/>
      <c r="EB132" s="234"/>
      <c r="EC132" s="234"/>
      <c r="ED132" s="234"/>
      <c r="EE132" s="234"/>
      <c r="EF132" s="234"/>
      <c r="EG132" s="234"/>
      <c r="EH132" s="234"/>
      <c r="EI132" s="234"/>
      <c r="EJ132" s="234"/>
      <c r="EK132" s="234"/>
      <c r="EL132" s="234"/>
      <c r="EM132" s="234"/>
      <c r="EN132" s="234"/>
      <c r="EO132" s="234"/>
      <c r="EP132" s="234"/>
      <c r="EQ132" s="234"/>
    </row>
    <row r="133" spans="1:147" x14ac:dyDescent="0.25">
      <c r="A133" s="226" t="s">
        <v>370</v>
      </c>
      <c r="B133" s="227"/>
      <c r="C133" s="245">
        <f>SUMIF(135:135,C126,137:137)</f>
        <v>47574</v>
      </c>
      <c r="D133" s="238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  <c r="AV133" s="234"/>
      <c r="AW133" s="234"/>
      <c r="AX133" s="234"/>
      <c r="AY133" s="234"/>
      <c r="AZ133" s="234"/>
      <c r="BA133" s="234"/>
      <c r="BB133" s="234"/>
      <c r="BC133" s="234"/>
      <c r="BD133" s="234"/>
      <c r="BE133" s="234"/>
      <c r="BF133" s="234"/>
      <c r="BG133" s="234"/>
      <c r="BH133" s="234"/>
      <c r="BI133" s="234"/>
      <c r="BJ133" s="234"/>
      <c r="BK133" s="234"/>
      <c r="BL133" s="234"/>
      <c r="BM133" s="234"/>
      <c r="BN133" s="234"/>
      <c r="BO133" s="234"/>
      <c r="BP133" s="234"/>
      <c r="BQ133" s="234"/>
      <c r="BR133" s="246"/>
      <c r="BS133" s="234"/>
      <c r="BT133" s="234"/>
      <c r="BU133" s="234"/>
      <c r="BV133" s="234"/>
      <c r="BW133" s="234"/>
      <c r="BX133" s="234"/>
      <c r="BY133" s="234"/>
      <c r="BZ133" s="234"/>
      <c r="CA133" s="234"/>
      <c r="CB133" s="234"/>
      <c r="CC133" s="234"/>
      <c r="CD133" s="234"/>
      <c r="CE133" s="234"/>
      <c r="CF133" s="234"/>
      <c r="CG133" s="234"/>
      <c r="CH133" s="234"/>
      <c r="CI133" s="234"/>
      <c r="CJ133" s="234"/>
      <c r="CK133" s="234"/>
      <c r="CL133" s="234"/>
      <c r="CM133" s="234"/>
      <c r="CN133" s="234"/>
      <c r="CO133" s="234"/>
      <c r="CP133" s="234"/>
      <c r="CQ133" s="234"/>
      <c r="CR133" s="234"/>
      <c r="CS133" s="234"/>
      <c r="CT133" s="234"/>
      <c r="CU133" s="234"/>
      <c r="CV133" s="234"/>
      <c r="CW133" s="234"/>
      <c r="CX133" s="234"/>
      <c r="CY133" s="234"/>
      <c r="CZ133" s="234"/>
      <c r="DA133" s="234"/>
      <c r="DB133" s="234"/>
      <c r="DC133" s="234"/>
      <c r="DD133" s="234"/>
      <c r="DE133" s="234"/>
      <c r="DF133" s="234"/>
      <c r="DG133" s="234"/>
      <c r="DH133" s="234"/>
      <c r="DI133" s="234"/>
      <c r="DJ133" s="234"/>
      <c r="DK133" s="234"/>
      <c r="DL133" s="234"/>
      <c r="DM133" s="234"/>
      <c r="DN133" s="234"/>
      <c r="DO133" s="234"/>
      <c r="DP133" s="234"/>
      <c r="DQ133" s="234"/>
      <c r="DR133" s="234"/>
      <c r="DS133" s="234"/>
      <c r="DT133" s="234"/>
      <c r="DU133" s="234"/>
      <c r="DV133" s="234"/>
      <c r="DW133" s="234"/>
      <c r="DX133" s="234"/>
      <c r="DY133" s="234"/>
      <c r="DZ133" s="234"/>
      <c r="EA133" s="234"/>
      <c r="EB133" s="234"/>
      <c r="EC133" s="234"/>
      <c r="ED133" s="234"/>
      <c r="EE133" s="234"/>
      <c r="EF133" s="234"/>
      <c r="EG133" s="234"/>
      <c r="EH133" s="234"/>
      <c r="EI133" s="234"/>
      <c r="EJ133" s="234"/>
      <c r="EK133" s="234"/>
      <c r="EL133" s="234"/>
      <c r="EM133" s="234"/>
      <c r="EN133" s="234"/>
      <c r="EO133" s="234"/>
      <c r="EP133" s="234"/>
      <c r="EQ133" s="234"/>
    </row>
    <row r="134" spans="1:147" x14ac:dyDescent="0.25">
      <c r="A134" s="230" t="s">
        <v>371</v>
      </c>
      <c r="B134" s="231"/>
      <c r="C134" s="247">
        <f>C110</f>
        <v>5.0000000000000001E-3</v>
      </c>
      <c r="D134" s="248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  <c r="AV134" s="234"/>
      <c r="AW134" s="234"/>
      <c r="AX134" s="234"/>
      <c r="AY134" s="234"/>
      <c r="AZ134" s="234"/>
      <c r="BA134" s="234"/>
      <c r="BB134" s="234"/>
      <c r="BC134" s="234"/>
      <c r="BD134" s="234"/>
      <c r="BE134" s="234"/>
      <c r="BF134" s="234"/>
      <c r="BG134" s="234"/>
      <c r="BH134" s="234"/>
      <c r="BI134" s="234"/>
      <c r="BJ134" s="234"/>
      <c r="BK134" s="234"/>
      <c r="BL134" s="234"/>
      <c r="BM134" s="234"/>
      <c r="BN134" s="234"/>
      <c r="BO134" s="234"/>
      <c r="BP134" s="234"/>
      <c r="BQ134" s="234"/>
      <c r="BR134" s="234"/>
      <c r="BS134" s="234"/>
      <c r="BT134" s="234"/>
      <c r="BU134" s="234"/>
      <c r="BV134" s="234"/>
      <c r="BW134" s="234"/>
      <c r="BX134" s="234"/>
      <c r="BY134" s="234"/>
      <c r="BZ134" s="234"/>
      <c r="CA134" s="234"/>
      <c r="CB134" s="234"/>
      <c r="CC134" s="234"/>
      <c r="CD134" s="234"/>
      <c r="CE134" s="234"/>
      <c r="CF134" s="234"/>
      <c r="CG134" s="234"/>
      <c r="CH134" s="234"/>
      <c r="CI134" s="234"/>
      <c r="CJ134" s="234"/>
      <c r="CK134" s="234"/>
      <c r="CL134" s="234"/>
      <c r="CM134" s="234"/>
      <c r="CN134" s="234"/>
      <c r="CO134" s="234"/>
      <c r="CP134" s="234"/>
      <c r="CQ134" s="234"/>
      <c r="CR134" s="234"/>
      <c r="CS134" s="234"/>
      <c r="CT134" s="234"/>
      <c r="CU134" s="234"/>
      <c r="CV134" s="234"/>
      <c r="CW134" s="234"/>
      <c r="CX134" s="234"/>
      <c r="CY134" s="234"/>
      <c r="CZ134" s="234"/>
      <c r="DA134" s="234"/>
      <c r="DB134" s="234"/>
      <c r="DC134" s="234"/>
      <c r="DD134" s="234"/>
      <c r="DE134" s="234"/>
      <c r="DF134" s="234"/>
      <c r="DG134" s="234"/>
      <c r="DH134" s="234"/>
      <c r="DI134" s="234"/>
      <c r="DJ134" s="234"/>
      <c r="DK134" s="234"/>
      <c r="DL134" s="234"/>
      <c r="DM134" s="234"/>
      <c r="DN134" s="234"/>
      <c r="DO134" s="234"/>
      <c r="DP134" s="234"/>
      <c r="DQ134" s="234"/>
      <c r="DR134" s="234"/>
      <c r="DS134" s="234"/>
      <c r="DT134" s="234"/>
      <c r="DU134" s="234"/>
      <c r="DV134" s="234"/>
      <c r="DW134" s="234"/>
      <c r="DX134" s="234"/>
      <c r="DY134" s="234"/>
      <c r="DZ134" s="234"/>
      <c r="EA134" s="234"/>
      <c r="EB134" s="234"/>
      <c r="EC134" s="234"/>
      <c r="ED134" s="234"/>
      <c r="EE134" s="234"/>
      <c r="EF134" s="234"/>
      <c r="EG134" s="234"/>
      <c r="EH134" s="234"/>
      <c r="EI134" s="234"/>
      <c r="EJ134" s="234"/>
      <c r="EK134" s="234"/>
      <c r="EL134" s="234"/>
      <c r="EM134" s="234"/>
      <c r="EN134" s="234"/>
      <c r="EO134" s="234"/>
      <c r="EP134" s="234"/>
      <c r="EQ134" s="234"/>
    </row>
    <row r="135" spans="1:147" x14ac:dyDescent="0.25">
      <c r="C135" s="249"/>
      <c r="D135" s="234"/>
      <c r="E135" s="234"/>
      <c r="F135" s="234"/>
      <c r="G135" s="18">
        <f t="shared" ref="G135:R135" si="133">IF(G138=DATE(YEAR($C$27),MONTH($C$27)+6,DAY($C$27)),1,IF(AND(A135&gt;0,A135&lt;$C126,G138&gt;=DATE(YEAR($C$27),MONTH($C$27)+6,DAY($C$27)-1)),A135+1,0))+IF(AND(G137=DATE(YEAR($C123),MONTH($C123)+6,DAY($C123))),1,0)</f>
        <v>0</v>
      </c>
      <c r="H135" s="18">
        <f t="shared" si="133"/>
        <v>0</v>
      </c>
      <c r="I135" s="18">
        <f t="shared" si="133"/>
        <v>0</v>
      </c>
      <c r="J135" s="18">
        <f t="shared" si="133"/>
        <v>0</v>
      </c>
      <c r="K135" s="18">
        <f t="shared" si="133"/>
        <v>0</v>
      </c>
      <c r="L135" s="18">
        <f t="shared" si="133"/>
        <v>0</v>
      </c>
      <c r="M135" s="18">
        <f t="shared" si="133"/>
        <v>0</v>
      </c>
      <c r="N135" s="18">
        <f t="shared" si="133"/>
        <v>0</v>
      </c>
      <c r="O135" s="18">
        <f t="shared" si="133"/>
        <v>0</v>
      </c>
      <c r="P135" s="18">
        <f t="shared" si="133"/>
        <v>0</v>
      </c>
      <c r="Q135" s="18">
        <f t="shared" si="133"/>
        <v>0</v>
      </c>
      <c r="R135" s="18">
        <f t="shared" si="133"/>
        <v>0</v>
      </c>
      <c r="S135" s="18">
        <f>IF(S138=DATE(YEAR($C$27),MONTH($C$27)+6,DAY($C$27)),1,IF(AND(M135&gt;0,M135&lt;$C126,S138&gt;=DATE(YEAR($C$27),MONTH($C$27)+6,DAY($C$27)-1)),M135+1,0))+IF(AND(S137=DATE(YEAR($C123),MONTH($C123)+6,DAY($C123))),1,0)</f>
        <v>0</v>
      </c>
      <c r="T135" s="18">
        <f t="shared" ref="T135:CE135" si="134">IF(T138=DATE(YEAR($C$27),MONTH($C$27)+6,DAY($C$27)),1,IF(AND(N135&gt;0,N135&lt;$C126,T138&gt;=DATE(YEAR($C$27),MONTH($C$27)+6,DAY($C$27)-1)),N135+1,0))+IF(AND(T137=DATE(YEAR($C123),MONTH($C123)+6,DAY($C123))),1,0)</f>
        <v>0</v>
      </c>
      <c r="U135" s="18">
        <f t="shared" si="134"/>
        <v>0</v>
      </c>
      <c r="V135" s="18">
        <f t="shared" si="134"/>
        <v>0</v>
      </c>
      <c r="W135" s="18">
        <f t="shared" si="134"/>
        <v>0</v>
      </c>
      <c r="X135" s="18">
        <f t="shared" si="134"/>
        <v>0</v>
      </c>
      <c r="Y135" s="18">
        <f t="shared" si="134"/>
        <v>0</v>
      </c>
      <c r="Z135" s="18">
        <f t="shared" si="134"/>
        <v>0</v>
      </c>
      <c r="AA135" s="18">
        <f t="shared" si="134"/>
        <v>0</v>
      </c>
      <c r="AB135" s="18">
        <f t="shared" si="134"/>
        <v>0</v>
      </c>
      <c r="AC135" s="18">
        <f t="shared" si="134"/>
        <v>0</v>
      </c>
      <c r="AD135" s="18">
        <f t="shared" si="134"/>
        <v>0</v>
      </c>
      <c r="AE135" s="18">
        <f t="shared" si="134"/>
        <v>0</v>
      </c>
      <c r="AF135" s="18">
        <f t="shared" si="134"/>
        <v>0</v>
      </c>
      <c r="AG135" s="18">
        <f t="shared" si="134"/>
        <v>0</v>
      </c>
      <c r="AH135" s="18">
        <f t="shared" si="134"/>
        <v>0</v>
      </c>
      <c r="AI135" s="18">
        <f t="shared" si="134"/>
        <v>0</v>
      </c>
      <c r="AJ135" s="18">
        <f t="shared" si="134"/>
        <v>0</v>
      </c>
      <c r="AK135" s="18">
        <f t="shared" si="134"/>
        <v>0</v>
      </c>
      <c r="AL135" s="18">
        <f t="shared" si="134"/>
        <v>0</v>
      </c>
      <c r="AM135" s="18">
        <f t="shared" si="134"/>
        <v>0</v>
      </c>
      <c r="AN135" s="18">
        <f t="shared" si="134"/>
        <v>0</v>
      </c>
      <c r="AO135" s="18">
        <f t="shared" si="134"/>
        <v>0</v>
      </c>
      <c r="AP135" s="18">
        <f t="shared" si="134"/>
        <v>0</v>
      </c>
      <c r="AQ135" s="18">
        <f t="shared" si="134"/>
        <v>0</v>
      </c>
      <c r="AR135" s="18">
        <f t="shared" si="134"/>
        <v>0</v>
      </c>
      <c r="AS135" s="18">
        <f t="shared" si="134"/>
        <v>0</v>
      </c>
      <c r="AT135" s="18">
        <f t="shared" si="134"/>
        <v>0</v>
      </c>
      <c r="AU135" s="18">
        <f t="shared" si="134"/>
        <v>0</v>
      </c>
      <c r="AV135" s="18">
        <f t="shared" si="134"/>
        <v>0</v>
      </c>
      <c r="AW135" s="18">
        <f t="shared" si="134"/>
        <v>0</v>
      </c>
      <c r="AX135" s="18">
        <f t="shared" si="134"/>
        <v>0</v>
      </c>
      <c r="AY135" s="18">
        <f t="shared" si="134"/>
        <v>0</v>
      </c>
      <c r="AZ135" s="18">
        <f t="shared" si="134"/>
        <v>0</v>
      </c>
      <c r="BA135" s="18">
        <f t="shared" si="134"/>
        <v>0</v>
      </c>
      <c r="BB135" s="18">
        <f t="shared" si="134"/>
        <v>0</v>
      </c>
      <c r="BC135" s="18">
        <f t="shared" si="134"/>
        <v>0</v>
      </c>
      <c r="BD135" s="18">
        <f t="shared" si="134"/>
        <v>0</v>
      </c>
      <c r="BE135" s="18">
        <f t="shared" si="134"/>
        <v>0</v>
      </c>
      <c r="BF135" s="18">
        <f t="shared" si="134"/>
        <v>0</v>
      </c>
      <c r="BG135" s="18">
        <f t="shared" si="134"/>
        <v>0</v>
      </c>
      <c r="BH135" s="18">
        <f t="shared" si="134"/>
        <v>0</v>
      </c>
      <c r="BI135" s="18">
        <f t="shared" si="134"/>
        <v>1</v>
      </c>
      <c r="BJ135" s="18">
        <f t="shared" si="134"/>
        <v>0</v>
      </c>
      <c r="BK135" s="18">
        <f t="shared" si="134"/>
        <v>0</v>
      </c>
      <c r="BL135" s="18">
        <f t="shared" si="134"/>
        <v>0</v>
      </c>
      <c r="BM135" s="18">
        <f t="shared" si="134"/>
        <v>0</v>
      </c>
      <c r="BN135" s="18">
        <f t="shared" si="134"/>
        <v>0</v>
      </c>
      <c r="BO135" s="18">
        <f t="shared" si="134"/>
        <v>2</v>
      </c>
      <c r="BP135" s="18">
        <f t="shared" si="134"/>
        <v>0</v>
      </c>
      <c r="BQ135" s="18">
        <f t="shared" si="134"/>
        <v>0</v>
      </c>
      <c r="BR135" s="18">
        <f t="shared" si="134"/>
        <v>0</v>
      </c>
      <c r="BS135" s="18">
        <f t="shared" si="134"/>
        <v>0</v>
      </c>
      <c r="BT135" s="18">
        <f t="shared" si="134"/>
        <v>0</v>
      </c>
      <c r="BU135" s="18">
        <f t="shared" si="134"/>
        <v>3</v>
      </c>
      <c r="BV135" s="18">
        <f t="shared" si="134"/>
        <v>0</v>
      </c>
      <c r="BW135" s="18">
        <f t="shared" si="134"/>
        <v>0</v>
      </c>
      <c r="BX135" s="18">
        <f t="shared" si="134"/>
        <v>0</v>
      </c>
      <c r="BY135" s="18">
        <f t="shared" si="134"/>
        <v>0</v>
      </c>
      <c r="BZ135" s="18">
        <f t="shared" si="134"/>
        <v>0</v>
      </c>
      <c r="CA135" s="18">
        <f t="shared" si="134"/>
        <v>4</v>
      </c>
      <c r="CB135" s="18">
        <f t="shared" si="134"/>
        <v>0</v>
      </c>
      <c r="CC135" s="18">
        <f t="shared" si="134"/>
        <v>0</v>
      </c>
      <c r="CD135" s="18">
        <f t="shared" si="134"/>
        <v>0</v>
      </c>
      <c r="CE135" s="18">
        <f t="shared" si="134"/>
        <v>0</v>
      </c>
      <c r="CF135" s="18">
        <f t="shared" ref="CF135:EQ135" si="135">IF(CF138=DATE(YEAR($C$27),MONTH($C$27)+6,DAY($C$27)),1,IF(AND(BZ135&gt;0,BZ135&lt;$C126,CF138&gt;=DATE(YEAR($C$27),MONTH($C$27)+6,DAY($C$27)-1)),BZ135+1,0))+IF(AND(CF137=DATE(YEAR($C123),MONTH($C123)+6,DAY($C123))),1,0)</f>
        <v>0</v>
      </c>
      <c r="CG135" s="18">
        <f t="shared" si="135"/>
        <v>5</v>
      </c>
      <c r="CH135" s="18">
        <f t="shared" si="135"/>
        <v>0</v>
      </c>
      <c r="CI135" s="18">
        <f t="shared" si="135"/>
        <v>0</v>
      </c>
      <c r="CJ135" s="18">
        <f t="shared" si="135"/>
        <v>0</v>
      </c>
      <c r="CK135" s="18">
        <f t="shared" si="135"/>
        <v>0</v>
      </c>
      <c r="CL135" s="18">
        <f t="shared" si="135"/>
        <v>0</v>
      </c>
      <c r="CM135" s="18">
        <f t="shared" si="135"/>
        <v>6</v>
      </c>
      <c r="CN135" s="18">
        <f t="shared" si="135"/>
        <v>0</v>
      </c>
      <c r="CO135" s="18">
        <f t="shared" si="135"/>
        <v>0</v>
      </c>
      <c r="CP135" s="18">
        <f t="shared" si="135"/>
        <v>0</v>
      </c>
      <c r="CQ135" s="18">
        <f t="shared" si="135"/>
        <v>0</v>
      </c>
      <c r="CR135" s="18">
        <f t="shared" si="135"/>
        <v>0</v>
      </c>
      <c r="CS135" s="18">
        <f t="shared" si="135"/>
        <v>7</v>
      </c>
      <c r="CT135" s="18">
        <f t="shared" si="135"/>
        <v>0</v>
      </c>
      <c r="CU135" s="18">
        <f t="shared" si="135"/>
        <v>0</v>
      </c>
      <c r="CV135" s="18">
        <f t="shared" si="135"/>
        <v>0</v>
      </c>
      <c r="CW135" s="18">
        <f t="shared" si="135"/>
        <v>0</v>
      </c>
      <c r="CX135" s="18">
        <f t="shared" si="135"/>
        <v>0</v>
      </c>
      <c r="CY135" s="18">
        <f t="shared" si="135"/>
        <v>8</v>
      </c>
      <c r="CZ135" s="18">
        <f t="shared" si="135"/>
        <v>0</v>
      </c>
      <c r="DA135" s="18">
        <f t="shared" si="135"/>
        <v>0</v>
      </c>
      <c r="DB135" s="18">
        <f t="shared" si="135"/>
        <v>0</v>
      </c>
      <c r="DC135" s="18">
        <f t="shared" si="135"/>
        <v>0</v>
      </c>
      <c r="DD135" s="18">
        <f t="shared" si="135"/>
        <v>0</v>
      </c>
      <c r="DE135" s="18">
        <f t="shared" si="135"/>
        <v>9</v>
      </c>
      <c r="DF135" s="18">
        <f t="shared" si="135"/>
        <v>0</v>
      </c>
      <c r="DG135" s="18">
        <f t="shared" si="135"/>
        <v>0</v>
      </c>
      <c r="DH135" s="18">
        <f t="shared" si="135"/>
        <v>0</v>
      </c>
      <c r="DI135" s="18">
        <f t="shared" si="135"/>
        <v>0</v>
      </c>
      <c r="DJ135" s="18">
        <f t="shared" si="135"/>
        <v>0</v>
      </c>
      <c r="DK135" s="18">
        <f t="shared" si="135"/>
        <v>10</v>
      </c>
      <c r="DL135" s="18">
        <f t="shared" si="135"/>
        <v>0</v>
      </c>
      <c r="DM135" s="18">
        <f t="shared" si="135"/>
        <v>0</v>
      </c>
      <c r="DN135" s="18">
        <f t="shared" si="135"/>
        <v>0</v>
      </c>
      <c r="DO135" s="18">
        <f t="shared" si="135"/>
        <v>0</v>
      </c>
      <c r="DP135" s="18">
        <f t="shared" si="135"/>
        <v>0</v>
      </c>
      <c r="DQ135" s="18">
        <f t="shared" si="135"/>
        <v>11</v>
      </c>
      <c r="DR135" s="18">
        <f t="shared" si="135"/>
        <v>0</v>
      </c>
      <c r="DS135" s="18">
        <f t="shared" si="135"/>
        <v>0</v>
      </c>
      <c r="DT135" s="18">
        <f t="shared" si="135"/>
        <v>0</v>
      </c>
      <c r="DU135" s="18">
        <f t="shared" si="135"/>
        <v>0</v>
      </c>
      <c r="DV135" s="18">
        <f t="shared" si="135"/>
        <v>0</v>
      </c>
      <c r="DW135" s="18">
        <f t="shared" si="135"/>
        <v>12</v>
      </c>
      <c r="DX135" s="18">
        <f t="shared" si="135"/>
        <v>0</v>
      </c>
      <c r="DY135" s="18">
        <f t="shared" si="135"/>
        <v>0</v>
      </c>
      <c r="DZ135" s="18">
        <f t="shared" si="135"/>
        <v>0</v>
      </c>
      <c r="EA135" s="18">
        <f t="shared" si="135"/>
        <v>0</v>
      </c>
      <c r="EB135" s="18">
        <f t="shared" si="135"/>
        <v>0</v>
      </c>
      <c r="EC135" s="18">
        <f t="shared" si="135"/>
        <v>0</v>
      </c>
      <c r="ED135" s="18">
        <f t="shared" si="135"/>
        <v>0</v>
      </c>
      <c r="EE135" s="18">
        <f t="shared" si="135"/>
        <v>0</v>
      </c>
      <c r="EF135" s="18">
        <f t="shared" si="135"/>
        <v>0</v>
      </c>
      <c r="EG135" s="18">
        <f t="shared" si="135"/>
        <v>0</v>
      </c>
      <c r="EH135" s="18">
        <f t="shared" si="135"/>
        <v>0</v>
      </c>
      <c r="EI135" s="18">
        <f t="shared" si="135"/>
        <v>0</v>
      </c>
      <c r="EJ135" s="18">
        <f t="shared" si="135"/>
        <v>0</v>
      </c>
      <c r="EK135" s="18">
        <f t="shared" si="135"/>
        <v>0</v>
      </c>
      <c r="EL135" s="18">
        <f t="shared" si="135"/>
        <v>0</v>
      </c>
      <c r="EM135" s="18">
        <f t="shared" si="135"/>
        <v>0</v>
      </c>
      <c r="EN135" s="18">
        <f t="shared" si="135"/>
        <v>0</v>
      </c>
      <c r="EO135" s="18">
        <f t="shared" si="135"/>
        <v>0</v>
      </c>
      <c r="EP135" s="18">
        <f t="shared" si="135"/>
        <v>0</v>
      </c>
      <c r="EQ135" s="18">
        <f t="shared" si="135"/>
        <v>0</v>
      </c>
    </row>
    <row r="136" spans="1:147" ht="15.75" x14ac:dyDescent="0.25">
      <c r="A136" s="380" t="s">
        <v>281</v>
      </c>
      <c r="B136" s="274"/>
      <c r="C136" s="383" t="s">
        <v>45</v>
      </c>
      <c r="D136" s="266">
        <v>2020</v>
      </c>
      <c r="E136" s="267">
        <v>2020</v>
      </c>
      <c r="F136" s="267">
        <v>2020</v>
      </c>
      <c r="G136" s="267">
        <v>2020</v>
      </c>
      <c r="H136" s="267">
        <v>2020</v>
      </c>
      <c r="I136" s="267">
        <v>2020</v>
      </c>
      <c r="J136" s="267">
        <v>2020</v>
      </c>
      <c r="K136" s="267">
        <v>2020</v>
      </c>
      <c r="L136" s="267">
        <v>2020</v>
      </c>
      <c r="M136" s="267">
        <v>2020</v>
      </c>
      <c r="N136" s="267">
        <v>2020</v>
      </c>
      <c r="O136" s="267">
        <v>2020</v>
      </c>
      <c r="P136" s="267">
        <f>O136+1</f>
        <v>2021</v>
      </c>
      <c r="Q136" s="267">
        <f t="shared" ref="Q136:AA136" si="136">P136</f>
        <v>2021</v>
      </c>
      <c r="R136" s="267">
        <f t="shared" si="136"/>
        <v>2021</v>
      </c>
      <c r="S136" s="267">
        <f t="shared" si="136"/>
        <v>2021</v>
      </c>
      <c r="T136" s="267">
        <f t="shared" si="136"/>
        <v>2021</v>
      </c>
      <c r="U136" s="267">
        <f t="shared" si="136"/>
        <v>2021</v>
      </c>
      <c r="V136" s="267">
        <f t="shared" si="136"/>
        <v>2021</v>
      </c>
      <c r="W136" s="267">
        <f t="shared" si="136"/>
        <v>2021</v>
      </c>
      <c r="X136" s="267">
        <f t="shared" si="136"/>
        <v>2021</v>
      </c>
      <c r="Y136" s="267">
        <f t="shared" si="136"/>
        <v>2021</v>
      </c>
      <c r="Z136" s="267">
        <f t="shared" si="136"/>
        <v>2021</v>
      </c>
      <c r="AA136" s="267">
        <f t="shared" si="136"/>
        <v>2021</v>
      </c>
      <c r="AB136" s="267">
        <f>AA136+1</f>
        <v>2022</v>
      </c>
      <c r="AC136" s="267">
        <f t="shared" ref="AC136:AM136" si="137">AB136</f>
        <v>2022</v>
      </c>
      <c r="AD136" s="267">
        <f t="shared" si="137"/>
        <v>2022</v>
      </c>
      <c r="AE136" s="267">
        <f t="shared" si="137"/>
        <v>2022</v>
      </c>
      <c r="AF136" s="267">
        <f t="shared" si="137"/>
        <v>2022</v>
      </c>
      <c r="AG136" s="267">
        <f t="shared" si="137"/>
        <v>2022</v>
      </c>
      <c r="AH136" s="267">
        <f t="shared" si="137"/>
        <v>2022</v>
      </c>
      <c r="AI136" s="267">
        <f t="shared" si="137"/>
        <v>2022</v>
      </c>
      <c r="AJ136" s="267">
        <f t="shared" si="137"/>
        <v>2022</v>
      </c>
      <c r="AK136" s="267">
        <f t="shared" si="137"/>
        <v>2022</v>
      </c>
      <c r="AL136" s="267">
        <f t="shared" si="137"/>
        <v>2022</v>
      </c>
      <c r="AM136" s="267">
        <f t="shared" si="137"/>
        <v>2022</v>
      </c>
      <c r="AN136" s="267">
        <f>AM136+1</f>
        <v>2023</v>
      </c>
      <c r="AO136" s="267">
        <f t="shared" ref="AO136:AY136" si="138">AN136</f>
        <v>2023</v>
      </c>
      <c r="AP136" s="267">
        <f t="shared" si="138"/>
        <v>2023</v>
      </c>
      <c r="AQ136" s="267">
        <f t="shared" si="138"/>
        <v>2023</v>
      </c>
      <c r="AR136" s="267">
        <f t="shared" si="138"/>
        <v>2023</v>
      </c>
      <c r="AS136" s="267">
        <f t="shared" si="138"/>
        <v>2023</v>
      </c>
      <c r="AT136" s="267">
        <f t="shared" si="138"/>
        <v>2023</v>
      </c>
      <c r="AU136" s="267">
        <f t="shared" si="138"/>
        <v>2023</v>
      </c>
      <c r="AV136" s="267">
        <f t="shared" si="138"/>
        <v>2023</v>
      </c>
      <c r="AW136" s="267">
        <f t="shared" si="138"/>
        <v>2023</v>
      </c>
      <c r="AX136" s="267">
        <f t="shared" si="138"/>
        <v>2023</v>
      </c>
      <c r="AY136" s="267">
        <f t="shared" si="138"/>
        <v>2023</v>
      </c>
      <c r="AZ136" s="267">
        <f>AY136+1</f>
        <v>2024</v>
      </c>
      <c r="BA136" s="267">
        <f t="shared" ref="BA136:BK136" si="139">AZ136</f>
        <v>2024</v>
      </c>
      <c r="BB136" s="267">
        <f t="shared" si="139"/>
        <v>2024</v>
      </c>
      <c r="BC136" s="267">
        <f t="shared" si="139"/>
        <v>2024</v>
      </c>
      <c r="BD136" s="267">
        <f t="shared" si="139"/>
        <v>2024</v>
      </c>
      <c r="BE136" s="267">
        <f t="shared" si="139"/>
        <v>2024</v>
      </c>
      <c r="BF136" s="267">
        <f t="shared" si="139"/>
        <v>2024</v>
      </c>
      <c r="BG136" s="267">
        <f t="shared" si="139"/>
        <v>2024</v>
      </c>
      <c r="BH136" s="267">
        <f t="shared" si="139"/>
        <v>2024</v>
      </c>
      <c r="BI136" s="267">
        <f t="shared" si="139"/>
        <v>2024</v>
      </c>
      <c r="BJ136" s="267">
        <f t="shared" si="139"/>
        <v>2024</v>
      </c>
      <c r="BK136" s="267">
        <f t="shared" si="139"/>
        <v>2024</v>
      </c>
      <c r="BL136" s="267">
        <f>BK136+1</f>
        <v>2025</v>
      </c>
      <c r="BM136" s="267">
        <f t="shared" ref="BM136:BW136" si="140">BL136</f>
        <v>2025</v>
      </c>
      <c r="BN136" s="267">
        <f t="shared" si="140"/>
        <v>2025</v>
      </c>
      <c r="BO136" s="267">
        <f t="shared" si="140"/>
        <v>2025</v>
      </c>
      <c r="BP136" s="267">
        <f t="shared" si="140"/>
        <v>2025</v>
      </c>
      <c r="BQ136" s="267">
        <f t="shared" si="140"/>
        <v>2025</v>
      </c>
      <c r="BR136" s="267">
        <f t="shared" si="140"/>
        <v>2025</v>
      </c>
      <c r="BS136" s="267">
        <f t="shared" si="140"/>
        <v>2025</v>
      </c>
      <c r="BT136" s="267">
        <f t="shared" si="140"/>
        <v>2025</v>
      </c>
      <c r="BU136" s="267">
        <f t="shared" si="140"/>
        <v>2025</v>
      </c>
      <c r="BV136" s="267">
        <f t="shared" si="140"/>
        <v>2025</v>
      </c>
      <c r="BW136" s="267">
        <f t="shared" si="140"/>
        <v>2025</v>
      </c>
      <c r="BX136" s="267">
        <f>BW136+1</f>
        <v>2026</v>
      </c>
      <c r="BY136" s="267">
        <f t="shared" ref="BY136:CI136" si="141">BX136</f>
        <v>2026</v>
      </c>
      <c r="BZ136" s="267">
        <f t="shared" si="141"/>
        <v>2026</v>
      </c>
      <c r="CA136" s="267">
        <f t="shared" si="141"/>
        <v>2026</v>
      </c>
      <c r="CB136" s="267">
        <f t="shared" si="141"/>
        <v>2026</v>
      </c>
      <c r="CC136" s="267">
        <f t="shared" si="141"/>
        <v>2026</v>
      </c>
      <c r="CD136" s="267">
        <f t="shared" si="141"/>
        <v>2026</v>
      </c>
      <c r="CE136" s="267">
        <f t="shared" si="141"/>
        <v>2026</v>
      </c>
      <c r="CF136" s="267">
        <f t="shared" si="141"/>
        <v>2026</v>
      </c>
      <c r="CG136" s="267">
        <f t="shared" si="141"/>
        <v>2026</v>
      </c>
      <c r="CH136" s="267">
        <f t="shared" si="141"/>
        <v>2026</v>
      </c>
      <c r="CI136" s="267">
        <f t="shared" si="141"/>
        <v>2026</v>
      </c>
      <c r="CJ136" s="267">
        <f>CI136+1</f>
        <v>2027</v>
      </c>
      <c r="CK136" s="267">
        <f t="shared" ref="CK136:CU136" si="142">CJ136</f>
        <v>2027</v>
      </c>
      <c r="CL136" s="267">
        <f t="shared" si="142"/>
        <v>2027</v>
      </c>
      <c r="CM136" s="267">
        <f t="shared" si="142"/>
        <v>2027</v>
      </c>
      <c r="CN136" s="267">
        <f t="shared" si="142"/>
        <v>2027</v>
      </c>
      <c r="CO136" s="267">
        <f t="shared" si="142"/>
        <v>2027</v>
      </c>
      <c r="CP136" s="267">
        <f t="shared" si="142"/>
        <v>2027</v>
      </c>
      <c r="CQ136" s="267">
        <f t="shared" si="142"/>
        <v>2027</v>
      </c>
      <c r="CR136" s="267">
        <f t="shared" si="142"/>
        <v>2027</v>
      </c>
      <c r="CS136" s="267">
        <f t="shared" si="142"/>
        <v>2027</v>
      </c>
      <c r="CT136" s="267">
        <f t="shared" si="142"/>
        <v>2027</v>
      </c>
      <c r="CU136" s="267">
        <f t="shared" si="142"/>
        <v>2027</v>
      </c>
      <c r="CV136" s="267">
        <f>CU136+1</f>
        <v>2028</v>
      </c>
      <c r="CW136" s="267">
        <f t="shared" ref="CW136:DG136" si="143">CV136</f>
        <v>2028</v>
      </c>
      <c r="CX136" s="267">
        <f t="shared" si="143"/>
        <v>2028</v>
      </c>
      <c r="CY136" s="267">
        <f t="shared" si="143"/>
        <v>2028</v>
      </c>
      <c r="CZ136" s="267">
        <f t="shared" si="143"/>
        <v>2028</v>
      </c>
      <c r="DA136" s="267">
        <f t="shared" si="143"/>
        <v>2028</v>
      </c>
      <c r="DB136" s="267">
        <f t="shared" si="143"/>
        <v>2028</v>
      </c>
      <c r="DC136" s="267">
        <f t="shared" si="143"/>
        <v>2028</v>
      </c>
      <c r="DD136" s="267">
        <f t="shared" si="143"/>
        <v>2028</v>
      </c>
      <c r="DE136" s="267">
        <f t="shared" si="143"/>
        <v>2028</v>
      </c>
      <c r="DF136" s="267">
        <f t="shared" si="143"/>
        <v>2028</v>
      </c>
      <c r="DG136" s="267">
        <f t="shared" si="143"/>
        <v>2028</v>
      </c>
      <c r="DH136" s="267">
        <f>DG136+1</f>
        <v>2029</v>
      </c>
      <c r="DI136" s="267">
        <f t="shared" ref="DI136:DS136" si="144">DH136</f>
        <v>2029</v>
      </c>
      <c r="DJ136" s="267">
        <f t="shared" si="144"/>
        <v>2029</v>
      </c>
      <c r="DK136" s="267">
        <f t="shared" si="144"/>
        <v>2029</v>
      </c>
      <c r="DL136" s="267">
        <f t="shared" si="144"/>
        <v>2029</v>
      </c>
      <c r="DM136" s="267">
        <f t="shared" si="144"/>
        <v>2029</v>
      </c>
      <c r="DN136" s="267">
        <f t="shared" si="144"/>
        <v>2029</v>
      </c>
      <c r="DO136" s="267">
        <f t="shared" si="144"/>
        <v>2029</v>
      </c>
      <c r="DP136" s="267">
        <f t="shared" si="144"/>
        <v>2029</v>
      </c>
      <c r="DQ136" s="267">
        <f t="shared" si="144"/>
        <v>2029</v>
      </c>
      <c r="DR136" s="267">
        <f t="shared" si="144"/>
        <v>2029</v>
      </c>
      <c r="DS136" s="267">
        <f t="shared" si="144"/>
        <v>2029</v>
      </c>
      <c r="DT136" s="267">
        <f>DS136+1</f>
        <v>2030</v>
      </c>
      <c r="DU136" s="267">
        <f t="shared" ref="DU136:EE136" si="145">DT136</f>
        <v>2030</v>
      </c>
      <c r="DV136" s="267">
        <f t="shared" si="145"/>
        <v>2030</v>
      </c>
      <c r="DW136" s="267">
        <f t="shared" si="145"/>
        <v>2030</v>
      </c>
      <c r="DX136" s="267">
        <f t="shared" si="145"/>
        <v>2030</v>
      </c>
      <c r="DY136" s="267">
        <f t="shared" si="145"/>
        <v>2030</v>
      </c>
      <c r="DZ136" s="267">
        <f t="shared" si="145"/>
        <v>2030</v>
      </c>
      <c r="EA136" s="267">
        <f t="shared" si="145"/>
        <v>2030</v>
      </c>
      <c r="EB136" s="267">
        <f t="shared" si="145"/>
        <v>2030</v>
      </c>
      <c r="EC136" s="267">
        <f t="shared" si="145"/>
        <v>2030</v>
      </c>
      <c r="ED136" s="267">
        <f t="shared" si="145"/>
        <v>2030</v>
      </c>
      <c r="EE136" s="267">
        <f t="shared" si="145"/>
        <v>2030</v>
      </c>
      <c r="EF136" s="267">
        <f>EE136+1</f>
        <v>2031</v>
      </c>
      <c r="EG136" s="267">
        <f t="shared" ref="EG136:EQ136" si="146">EF136</f>
        <v>2031</v>
      </c>
      <c r="EH136" s="267">
        <f t="shared" si="146"/>
        <v>2031</v>
      </c>
      <c r="EI136" s="267">
        <f t="shared" si="146"/>
        <v>2031</v>
      </c>
      <c r="EJ136" s="267">
        <f t="shared" si="146"/>
        <v>2031</v>
      </c>
      <c r="EK136" s="267">
        <f t="shared" si="146"/>
        <v>2031</v>
      </c>
      <c r="EL136" s="267">
        <f t="shared" si="146"/>
        <v>2031</v>
      </c>
      <c r="EM136" s="267">
        <f t="shared" si="146"/>
        <v>2031</v>
      </c>
      <c r="EN136" s="267">
        <f t="shared" si="146"/>
        <v>2031</v>
      </c>
      <c r="EO136" s="267">
        <f t="shared" si="146"/>
        <v>2031</v>
      </c>
      <c r="EP136" s="267">
        <f t="shared" si="146"/>
        <v>2031</v>
      </c>
      <c r="EQ136" s="268">
        <f t="shared" si="146"/>
        <v>2031</v>
      </c>
    </row>
    <row r="137" spans="1:147" ht="15.75" x14ac:dyDescent="0.25">
      <c r="A137" s="381"/>
      <c r="B137" s="275"/>
      <c r="C137" s="384"/>
      <c r="D137" s="269">
        <f>DATE(D136,1,1)</f>
        <v>43831</v>
      </c>
      <c r="E137" s="270">
        <f>DATE(E136,2,1)</f>
        <v>43862</v>
      </c>
      <c r="F137" s="270">
        <f>DATE(F136,3,1)</f>
        <v>43891</v>
      </c>
      <c r="G137" s="270">
        <f>DATE(G136,4,1)</f>
        <v>43922</v>
      </c>
      <c r="H137" s="270">
        <f>DATE(H136,5,1)</f>
        <v>43952</v>
      </c>
      <c r="I137" s="270">
        <f>DATE(I136,6,1)</f>
        <v>43983</v>
      </c>
      <c r="J137" s="270">
        <f>DATE(J136,7,1)</f>
        <v>44013</v>
      </c>
      <c r="K137" s="270">
        <f>DATE(K136,8,1)</f>
        <v>44044</v>
      </c>
      <c r="L137" s="270">
        <f>DATE(L136,9,1)</f>
        <v>44075</v>
      </c>
      <c r="M137" s="270">
        <f>DATE(M136,10,1)</f>
        <v>44105</v>
      </c>
      <c r="N137" s="270">
        <f>DATE(N136,11,1)</f>
        <v>44136</v>
      </c>
      <c r="O137" s="270">
        <f>DATE(O136,12,1)</f>
        <v>44166</v>
      </c>
      <c r="P137" s="270">
        <f>DATE(P136,1,1)</f>
        <v>44197</v>
      </c>
      <c r="Q137" s="270">
        <f>DATE(Q136,2,1)</f>
        <v>44228</v>
      </c>
      <c r="R137" s="270">
        <f>DATE(R136,3,1)</f>
        <v>44256</v>
      </c>
      <c r="S137" s="270">
        <f>DATE(S136,4,1)</f>
        <v>44287</v>
      </c>
      <c r="T137" s="270">
        <f>DATE(T136,5,1)</f>
        <v>44317</v>
      </c>
      <c r="U137" s="270">
        <f>DATE(U136,6,1)</f>
        <v>44348</v>
      </c>
      <c r="V137" s="270">
        <f>DATE(V136,7,1)</f>
        <v>44378</v>
      </c>
      <c r="W137" s="270">
        <f>DATE(W136,8,1)</f>
        <v>44409</v>
      </c>
      <c r="X137" s="270">
        <f>DATE(X136,9,1)</f>
        <v>44440</v>
      </c>
      <c r="Y137" s="270">
        <f>DATE(Y136,10,1)</f>
        <v>44470</v>
      </c>
      <c r="Z137" s="270">
        <f>DATE(Z136,11,1)</f>
        <v>44501</v>
      </c>
      <c r="AA137" s="270">
        <f>DATE(AA136,12,1)</f>
        <v>44531</v>
      </c>
      <c r="AB137" s="270">
        <f>DATE(AB136,1,1)</f>
        <v>44562</v>
      </c>
      <c r="AC137" s="270">
        <f>DATE(AC136,2,1)</f>
        <v>44593</v>
      </c>
      <c r="AD137" s="270">
        <f>DATE(AD136,3,1)</f>
        <v>44621</v>
      </c>
      <c r="AE137" s="270">
        <f>DATE(AE136,4,1)</f>
        <v>44652</v>
      </c>
      <c r="AF137" s="270">
        <f>DATE(AF136,5,1)</f>
        <v>44682</v>
      </c>
      <c r="AG137" s="270">
        <f>DATE(AG136,6,1)</f>
        <v>44713</v>
      </c>
      <c r="AH137" s="270">
        <f>DATE(AH136,7,1)</f>
        <v>44743</v>
      </c>
      <c r="AI137" s="270">
        <f>DATE(AI136,8,1)</f>
        <v>44774</v>
      </c>
      <c r="AJ137" s="270">
        <f>DATE(AJ136,9,1)</f>
        <v>44805</v>
      </c>
      <c r="AK137" s="270">
        <f>DATE(AK136,10,1)</f>
        <v>44835</v>
      </c>
      <c r="AL137" s="270">
        <f>DATE(AL136,11,1)</f>
        <v>44866</v>
      </c>
      <c r="AM137" s="270">
        <f>DATE(AM136,12,1)</f>
        <v>44896</v>
      </c>
      <c r="AN137" s="270">
        <f>DATE(AN136,1,1)</f>
        <v>44927</v>
      </c>
      <c r="AO137" s="270">
        <f>DATE(AO136,2,1)</f>
        <v>44958</v>
      </c>
      <c r="AP137" s="270">
        <f>DATE(AP136,3,1)</f>
        <v>44986</v>
      </c>
      <c r="AQ137" s="270">
        <f>DATE(AQ136,4,1)</f>
        <v>45017</v>
      </c>
      <c r="AR137" s="270">
        <f>DATE(AR136,5,1)</f>
        <v>45047</v>
      </c>
      <c r="AS137" s="270">
        <f>DATE(AS136,6,1)</f>
        <v>45078</v>
      </c>
      <c r="AT137" s="270">
        <f>DATE(AT136,7,1)</f>
        <v>45108</v>
      </c>
      <c r="AU137" s="270">
        <f>DATE(AU136,8,1)</f>
        <v>45139</v>
      </c>
      <c r="AV137" s="270">
        <f>DATE(AV136,9,1)</f>
        <v>45170</v>
      </c>
      <c r="AW137" s="270">
        <f>DATE(AW136,10,1)</f>
        <v>45200</v>
      </c>
      <c r="AX137" s="270">
        <f>DATE(AX136,11,1)</f>
        <v>45231</v>
      </c>
      <c r="AY137" s="270">
        <f>DATE(AY136,12,1)</f>
        <v>45261</v>
      </c>
      <c r="AZ137" s="270">
        <f>DATE(AZ136,1,1)</f>
        <v>45292</v>
      </c>
      <c r="BA137" s="270">
        <f>DATE(BA136,2,1)</f>
        <v>45323</v>
      </c>
      <c r="BB137" s="270">
        <f>DATE(BB136,3,1)</f>
        <v>45352</v>
      </c>
      <c r="BC137" s="270">
        <f>DATE(BC136,4,1)</f>
        <v>45383</v>
      </c>
      <c r="BD137" s="270">
        <f>DATE(BD136,5,1)</f>
        <v>45413</v>
      </c>
      <c r="BE137" s="270">
        <f>DATE(BE136,6,1)</f>
        <v>45444</v>
      </c>
      <c r="BF137" s="270">
        <f>DATE(BF136,7,1)</f>
        <v>45474</v>
      </c>
      <c r="BG137" s="270">
        <f>DATE(BG136,8,1)</f>
        <v>45505</v>
      </c>
      <c r="BH137" s="270">
        <f>DATE(BH136,9,1)</f>
        <v>45536</v>
      </c>
      <c r="BI137" s="270">
        <f>DATE(BI136,10,1)</f>
        <v>45566</v>
      </c>
      <c r="BJ137" s="270">
        <f>DATE(BJ136,11,1)</f>
        <v>45597</v>
      </c>
      <c r="BK137" s="270">
        <f>DATE(BK136,12,1)</f>
        <v>45627</v>
      </c>
      <c r="BL137" s="270">
        <f>DATE(BL136,1,1)</f>
        <v>45658</v>
      </c>
      <c r="BM137" s="270">
        <f>DATE(BM136,2,1)</f>
        <v>45689</v>
      </c>
      <c r="BN137" s="270">
        <f>DATE(BN136,3,1)</f>
        <v>45717</v>
      </c>
      <c r="BO137" s="270">
        <f>DATE(BO136,4,1)</f>
        <v>45748</v>
      </c>
      <c r="BP137" s="270">
        <f>DATE(BP136,5,1)</f>
        <v>45778</v>
      </c>
      <c r="BQ137" s="270">
        <f>DATE(BQ136,6,1)</f>
        <v>45809</v>
      </c>
      <c r="BR137" s="270">
        <f>DATE(BR136,7,1)</f>
        <v>45839</v>
      </c>
      <c r="BS137" s="270">
        <f>DATE(BS136,8,1)</f>
        <v>45870</v>
      </c>
      <c r="BT137" s="270">
        <f>DATE(BT136,9,1)</f>
        <v>45901</v>
      </c>
      <c r="BU137" s="270">
        <f>DATE(BU136,10,1)</f>
        <v>45931</v>
      </c>
      <c r="BV137" s="270">
        <f>DATE(BV136,11,1)</f>
        <v>45962</v>
      </c>
      <c r="BW137" s="270">
        <f>DATE(BW136,12,1)</f>
        <v>45992</v>
      </c>
      <c r="BX137" s="270">
        <f>DATE(BX136,1,1)</f>
        <v>46023</v>
      </c>
      <c r="BY137" s="270">
        <f>DATE(BY136,2,1)</f>
        <v>46054</v>
      </c>
      <c r="BZ137" s="270">
        <f>DATE(BZ136,3,1)</f>
        <v>46082</v>
      </c>
      <c r="CA137" s="270">
        <f>DATE(CA136,4,1)</f>
        <v>46113</v>
      </c>
      <c r="CB137" s="270">
        <f>DATE(CB136,5,1)</f>
        <v>46143</v>
      </c>
      <c r="CC137" s="270">
        <f>DATE(CC136,6,1)</f>
        <v>46174</v>
      </c>
      <c r="CD137" s="270">
        <f>DATE(CD136,7,1)</f>
        <v>46204</v>
      </c>
      <c r="CE137" s="270">
        <f>DATE(CE136,8,1)</f>
        <v>46235</v>
      </c>
      <c r="CF137" s="270">
        <f>DATE(CF136,9,1)</f>
        <v>46266</v>
      </c>
      <c r="CG137" s="270">
        <f>DATE(CG136,10,1)</f>
        <v>46296</v>
      </c>
      <c r="CH137" s="270">
        <f>DATE(CH136,11,1)</f>
        <v>46327</v>
      </c>
      <c r="CI137" s="270">
        <f>DATE(CI136,12,1)</f>
        <v>46357</v>
      </c>
      <c r="CJ137" s="270">
        <f>DATE(CJ136,1,1)</f>
        <v>46388</v>
      </c>
      <c r="CK137" s="270">
        <f>DATE(CK136,2,1)</f>
        <v>46419</v>
      </c>
      <c r="CL137" s="270">
        <f>DATE(CL136,3,1)</f>
        <v>46447</v>
      </c>
      <c r="CM137" s="270">
        <f>DATE(CM136,4,1)</f>
        <v>46478</v>
      </c>
      <c r="CN137" s="270">
        <f>DATE(CN136,5,1)</f>
        <v>46508</v>
      </c>
      <c r="CO137" s="270">
        <f>DATE(CO136,6,1)</f>
        <v>46539</v>
      </c>
      <c r="CP137" s="270">
        <f>DATE(CP136,7,1)</f>
        <v>46569</v>
      </c>
      <c r="CQ137" s="270">
        <f>DATE(CQ136,8,1)</f>
        <v>46600</v>
      </c>
      <c r="CR137" s="270">
        <f>DATE(CR136,9,1)</f>
        <v>46631</v>
      </c>
      <c r="CS137" s="270">
        <f>DATE(CS136,10,1)</f>
        <v>46661</v>
      </c>
      <c r="CT137" s="270">
        <f>DATE(CT136,11,1)</f>
        <v>46692</v>
      </c>
      <c r="CU137" s="270">
        <f>DATE(CU136,12,1)</f>
        <v>46722</v>
      </c>
      <c r="CV137" s="270">
        <f>DATE(CV136,1,1)</f>
        <v>46753</v>
      </c>
      <c r="CW137" s="270">
        <f>DATE(CW136,2,1)</f>
        <v>46784</v>
      </c>
      <c r="CX137" s="270">
        <f>DATE(CX136,3,1)</f>
        <v>46813</v>
      </c>
      <c r="CY137" s="270">
        <f>DATE(CY136,4,1)</f>
        <v>46844</v>
      </c>
      <c r="CZ137" s="270">
        <f>DATE(CZ136,5,1)</f>
        <v>46874</v>
      </c>
      <c r="DA137" s="270">
        <f>DATE(DA136,6,1)</f>
        <v>46905</v>
      </c>
      <c r="DB137" s="270">
        <f>DATE(DB136,7,1)</f>
        <v>46935</v>
      </c>
      <c r="DC137" s="270">
        <f>DATE(DC136,8,1)</f>
        <v>46966</v>
      </c>
      <c r="DD137" s="270">
        <f>DATE(DD136,9,1)</f>
        <v>46997</v>
      </c>
      <c r="DE137" s="270">
        <f>DATE(DE136,10,1)</f>
        <v>47027</v>
      </c>
      <c r="DF137" s="270">
        <f>DATE(DF136,11,1)</f>
        <v>47058</v>
      </c>
      <c r="DG137" s="270">
        <f>DATE(DG136,12,1)</f>
        <v>47088</v>
      </c>
      <c r="DH137" s="270">
        <f>DATE(DH136,1,1)</f>
        <v>47119</v>
      </c>
      <c r="DI137" s="270">
        <f>DATE(DI136,2,1)</f>
        <v>47150</v>
      </c>
      <c r="DJ137" s="270">
        <f>DATE(DJ136,3,1)</f>
        <v>47178</v>
      </c>
      <c r="DK137" s="270">
        <f>DATE(DK136,4,1)</f>
        <v>47209</v>
      </c>
      <c r="DL137" s="270">
        <f>DATE(DL136,5,1)</f>
        <v>47239</v>
      </c>
      <c r="DM137" s="270">
        <f>DATE(DM136,6,1)</f>
        <v>47270</v>
      </c>
      <c r="DN137" s="270">
        <f>DATE(DN136,7,1)</f>
        <v>47300</v>
      </c>
      <c r="DO137" s="270">
        <f>DATE(DO136,8,1)</f>
        <v>47331</v>
      </c>
      <c r="DP137" s="270">
        <f>DATE(DP136,9,1)</f>
        <v>47362</v>
      </c>
      <c r="DQ137" s="270">
        <f>DATE(DQ136,10,1)</f>
        <v>47392</v>
      </c>
      <c r="DR137" s="270">
        <f>DATE(DR136,11,1)</f>
        <v>47423</v>
      </c>
      <c r="DS137" s="270">
        <f>DATE(DS136,12,1)</f>
        <v>47453</v>
      </c>
      <c r="DT137" s="270">
        <f>DATE(DT136,1,1)</f>
        <v>47484</v>
      </c>
      <c r="DU137" s="270">
        <f>DATE(DU136,2,1)</f>
        <v>47515</v>
      </c>
      <c r="DV137" s="270">
        <f>DATE(DV136,3,1)</f>
        <v>47543</v>
      </c>
      <c r="DW137" s="270">
        <f>DATE(DW136,4,1)</f>
        <v>47574</v>
      </c>
      <c r="DX137" s="270">
        <f>DATE(DX136,5,1)</f>
        <v>47604</v>
      </c>
      <c r="DY137" s="270">
        <f>DATE(DY136,6,1)</f>
        <v>47635</v>
      </c>
      <c r="DZ137" s="270">
        <f>DATE(DZ136,7,1)</f>
        <v>47665</v>
      </c>
      <c r="EA137" s="270">
        <f>DATE(EA136,8,1)</f>
        <v>47696</v>
      </c>
      <c r="EB137" s="270">
        <f>DATE(EB136,9,1)</f>
        <v>47727</v>
      </c>
      <c r="EC137" s="270">
        <f>DATE(EC136,10,1)</f>
        <v>47757</v>
      </c>
      <c r="ED137" s="270">
        <f>DATE(ED136,11,1)</f>
        <v>47788</v>
      </c>
      <c r="EE137" s="270">
        <f>DATE(EE136,12,1)</f>
        <v>47818</v>
      </c>
      <c r="EF137" s="270">
        <f>DATE(EF136,1,1)</f>
        <v>47849</v>
      </c>
      <c r="EG137" s="270">
        <f>DATE(EG136,2,1)</f>
        <v>47880</v>
      </c>
      <c r="EH137" s="270">
        <f>DATE(EH136,3,1)</f>
        <v>47908</v>
      </c>
      <c r="EI137" s="270">
        <f>DATE(EI136,4,1)</f>
        <v>47939</v>
      </c>
      <c r="EJ137" s="270">
        <f>DATE(EJ136,5,1)</f>
        <v>47969</v>
      </c>
      <c r="EK137" s="270">
        <f>DATE(EK136,6,1)</f>
        <v>48000</v>
      </c>
      <c r="EL137" s="270">
        <f>DATE(EL136,7,1)</f>
        <v>48030</v>
      </c>
      <c r="EM137" s="270">
        <f>DATE(EM136,8,1)</f>
        <v>48061</v>
      </c>
      <c r="EN137" s="270">
        <f>DATE(EN136,9,1)</f>
        <v>48092</v>
      </c>
      <c r="EO137" s="270">
        <f>DATE(EO136,10,1)</f>
        <v>48122</v>
      </c>
      <c r="EP137" s="270">
        <f>DATE(EP136,11,1)</f>
        <v>48153</v>
      </c>
      <c r="EQ137" s="271">
        <f>DATE(EQ136,12,1)</f>
        <v>48183</v>
      </c>
    </row>
    <row r="138" spans="1:147" ht="15.75" x14ac:dyDescent="0.25">
      <c r="A138" s="382"/>
      <c r="B138" s="276"/>
      <c r="C138" s="385"/>
      <c r="D138" s="272">
        <f>DATE(D136,1,31)</f>
        <v>43861</v>
      </c>
      <c r="E138" s="272">
        <f>DATE(E136,2,29)</f>
        <v>43890</v>
      </c>
      <c r="F138" s="272">
        <f>DATE(F136,3,31)</f>
        <v>43921</v>
      </c>
      <c r="G138" s="272">
        <f>DATE(G136,4,30)</f>
        <v>43951</v>
      </c>
      <c r="H138" s="272">
        <f>DATE(H136,5,31)</f>
        <v>43982</v>
      </c>
      <c r="I138" s="272">
        <f>DATE(I136,6,30)</f>
        <v>44012</v>
      </c>
      <c r="J138" s="272">
        <f>DATE(J136,7,31)</f>
        <v>44043</v>
      </c>
      <c r="K138" s="272">
        <f>DATE(K136,8,31)</f>
        <v>44074</v>
      </c>
      <c r="L138" s="272">
        <f>DATE(L136,9,30)</f>
        <v>44104</v>
      </c>
      <c r="M138" s="272">
        <f>DATE(M136,10,31)</f>
        <v>44135</v>
      </c>
      <c r="N138" s="272">
        <f>DATE(N136,11,30)</f>
        <v>44165</v>
      </c>
      <c r="O138" s="272">
        <f>DATE(O136,12,31)</f>
        <v>44196</v>
      </c>
      <c r="P138" s="272">
        <f>DATE(P136,1,31)</f>
        <v>44227</v>
      </c>
      <c r="Q138" s="272">
        <f>DATE(Q136,2,28)</f>
        <v>44255</v>
      </c>
      <c r="R138" s="272">
        <f>DATE(R136,3,31)</f>
        <v>44286</v>
      </c>
      <c r="S138" s="272">
        <f>DATE(S136,4,30)</f>
        <v>44316</v>
      </c>
      <c r="T138" s="272">
        <f>DATE(T136,5,31)</f>
        <v>44347</v>
      </c>
      <c r="U138" s="272">
        <f>DATE(U136,6,30)</f>
        <v>44377</v>
      </c>
      <c r="V138" s="272">
        <f>DATE(V136,7,31)</f>
        <v>44408</v>
      </c>
      <c r="W138" s="272">
        <f>DATE(W136,8,31)</f>
        <v>44439</v>
      </c>
      <c r="X138" s="272">
        <f>DATE(X136,9,30)</f>
        <v>44469</v>
      </c>
      <c r="Y138" s="272">
        <f>DATE(Y136,10,31)</f>
        <v>44500</v>
      </c>
      <c r="Z138" s="272">
        <f>DATE(Z136,11,30)</f>
        <v>44530</v>
      </c>
      <c r="AA138" s="272">
        <f>DATE(AA136,12,31)</f>
        <v>44561</v>
      </c>
      <c r="AB138" s="272">
        <f>DATE(AB136,1,31)</f>
        <v>44592</v>
      </c>
      <c r="AC138" s="272">
        <f>DATE(AC136,2,28)</f>
        <v>44620</v>
      </c>
      <c r="AD138" s="272">
        <f>DATE(AD136,3,31)</f>
        <v>44651</v>
      </c>
      <c r="AE138" s="272">
        <f>DATE(AE136,4,30)</f>
        <v>44681</v>
      </c>
      <c r="AF138" s="272">
        <f>DATE(AF136,5,31)</f>
        <v>44712</v>
      </c>
      <c r="AG138" s="272">
        <f>DATE(AG136,6,30)</f>
        <v>44742</v>
      </c>
      <c r="AH138" s="272">
        <f>DATE(AH136,7,31)</f>
        <v>44773</v>
      </c>
      <c r="AI138" s="272">
        <f>DATE(AI136,8,31)</f>
        <v>44804</v>
      </c>
      <c r="AJ138" s="272">
        <f>DATE(AJ136,9,30)</f>
        <v>44834</v>
      </c>
      <c r="AK138" s="272">
        <f>DATE(AK136,10,31)</f>
        <v>44865</v>
      </c>
      <c r="AL138" s="272">
        <f>DATE(AL136,11,30)</f>
        <v>44895</v>
      </c>
      <c r="AM138" s="272">
        <f>DATE(AM136,12,31)</f>
        <v>44926</v>
      </c>
      <c r="AN138" s="272">
        <f>DATE(AN136,1,31)</f>
        <v>44957</v>
      </c>
      <c r="AO138" s="272">
        <f>DATE(AO136,2,28)</f>
        <v>44985</v>
      </c>
      <c r="AP138" s="272">
        <f>DATE(AP136,3,31)</f>
        <v>45016</v>
      </c>
      <c r="AQ138" s="272">
        <f>DATE(AQ136,4,30)</f>
        <v>45046</v>
      </c>
      <c r="AR138" s="272">
        <f>DATE(AR136,5,31)</f>
        <v>45077</v>
      </c>
      <c r="AS138" s="272">
        <f>DATE(AS136,6,30)</f>
        <v>45107</v>
      </c>
      <c r="AT138" s="272">
        <f>DATE(AT136,7,31)</f>
        <v>45138</v>
      </c>
      <c r="AU138" s="272">
        <f>DATE(AU136,8,31)</f>
        <v>45169</v>
      </c>
      <c r="AV138" s="272">
        <f>DATE(AV136,9,30)</f>
        <v>45199</v>
      </c>
      <c r="AW138" s="272">
        <f>DATE(AW136,10,31)</f>
        <v>45230</v>
      </c>
      <c r="AX138" s="272">
        <f>DATE(AX136,11,30)</f>
        <v>45260</v>
      </c>
      <c r="AY138" s="272">
        <f>DATE(AY136,12,31)</f>
        <v>45291</v>
      </c>
      <c r="AZ138" s="272">
        <f>DATE(AZ136,1,31)</f>
        <v>45322</v>
      </c>
      <c r="BA138" s="272">
        <f>DATE(BA136,2,29)</f>
        <v>45351</v>
      </c>
      <c r="BB138" s="272">
        <f>DATE(BB136,3,31)</f>
        <v>45382</v>
      </c>
      <c r="BC138" s="272">
        <f>DATE(BC136,4,30)</f>
        <v>45412</v>
      </c>
      <c r="BD138" s="272">
        <f>DATE(BD136,5,31)</f>
        <v>45443</v>
      </c>
      <c r="BE138" s="272">
        <f>DATE(BE136,6,30)</f>
        <v>45473</v>
      </c>
      <c r="BF138" s="272">
        <f>DATE(BF136,7,31)</f>
        <v>45504</v>
      </c>
      <c r="BG138" s="272">
        <f>DATE(BG136,8,31)</f>
        <v>45535</v>
      </c>
      <c r="BH138" s="272">
        <f>DATE(BH136,9,30)</f>
        <v>45565</v>
      </c>
      <c r="BI138" s="272">
        <f>DATE(BI136,10,31)</f>
        <v>45596</v>
      </c>
      <c r="BJ138" s="272">
        <f>DATE(BJ136,11,30)</f>
        <v>45626</v>
      </c>
      <c r="BK138" s="272">
        <f>DATE(BK136,12,31)</f>
        <v>45657</v>
      </c>
      <c r="BL138" s="272">
        <f>DATE(BL136,1,31)</f>
        <v>45688</v>
      </c>
      <c r="BM138" s="272">
        <f>DATE(BM136,2,28)</f>
        <v>45716</v>
      </c>
      <c r="BN138" s="272">
        <f>DATE(BN136,3,31)</f>
        <v>45747</v>
      </c>
      <c r="BO138" s="272">
        <f>DATE(BO136,4,30)</f>
        <v>45777</v>
      </c>
      <c r="BP138" s="272">
        <f>DATE(BP136,5,31)</f>
        <v>45808</v>
      </c>
      <c r="BQ138" s="272">
        <f>DATE(BQ136,6,30)</f>
        <v>45838</v>
      </c>
      <c r="BR138" s="272">
        <f>DATE(BR136,7,31)</f>
        <v>45869</v>
      </c>
      <c r="BS138" s="272">
        <f>DATE(BS136,8,31)</f>
        <v>45900</v>
      </c>
      <c r="BT138" s="272">
        <f>DATE(BT136,9,30)</f>
        <v>45930</v>
      </c>
      <c r="BU138" s="272">
        <f>DATE(BU136,10,31)</f>
        <v>45961</v>
      </c>
      <c r="BV138" s="272">
        <f>DATE(BV136,11,30)</f>
        <v>45991</v>
      </c>
      <c r="BW138" s="272">
        <f>DATE(BW136,12,31)</f>
        <v>46022</v>
      </c>
      <c r="BX138" s="272">
        <f>DATE(BX136,1,31)</f>
        <v>46053</v>
      </c>
      <c r="BY138" s="272">
        <f>DATE(BY136,2,28)</f>
        <v>46081</v>
      </c>
      <c r="BZ138" s="272">
        <f>DATE(BZ136,3,31)</f>
        <v>46112</v>
      </c>
      <c r="CA138" s="272">
        <f>DATE(CA136,4,30)</f>
        <v>46142</v>
      </c>
      <c r="CB138" s="272">
        <f>DATE(CB136,5,31)</f>
        <v>46173</v>
      </c>
      <c r="CC138" s="272">
        <f>DATE(CC136,6,30)</f>
        <v>46203</v>
      </c>
      <c r="CD138" s="272">
        <f>DATE(CD136,7,31)</f>
        <v>46234</v>
      </c>
      <c r="CE138" s="272">
        <f>DATE(CE136,8,31)</f>
        <v>46265</v>
      </c>
      <c r="CF138" s="272">
        <f>DATE(CF136,9,30)</f>
        <v>46295</v>
      </c>
      <c r="CG138" s="272">
        <f>DATE(CG136,10,31)</f>
        <v>46326</v>
      </c>
      <c r="CH138" s="272">
        <f>DATE(CH136,11,30)</f>
        <v>46356</v>
      </c>
      <c r="CI138" s="272">
        <f>DATE(CI136,12,31)</f>
        <v>46387</v>
      </c>
      <c r="CJ138" s="272">
        <f>DATE(CJ136,1,31)</f>
        <v>46418</v>
      </c>
      <c r="CK138" s="272">
        <f>DATE(CK136,2,28)</f>
        <v>46446</v>
      </c>
      <c r="CL138" s="272">
        <f>DATE(CL136,3,31)</f>
        <v>46477</v>
      </c>
      <c r="CM138" s="272">
        <f>DATE(CM136,4,30)</f>
        <v>46507</v>
      </c>
      <c r="CN138" s="272">
        <f>DATE(CN136,5,31)</f>
        <v>46538</v>
      </c>
      <c r="CO138" s="272">
        <f>DATE(CO136,6,30)</f>
        <v>46568</v>
      </c>
      <c r="CP138" s="272">
        <f>DATE(CP136,7,31)</f>
        <v>46599</v>
      </c>
      <c r="CQ138" s="272">
        <f>DATE(CQ136,8,31)</f>
        <v>46630</v>
      </c>
      <c r="CR138" s="272">
        <f>DATE(CR136,9,30)</f>
        <v>46660</v>
      </c>
      <c r="CS138" s="272">
        <f>DATE(CS136,10,31)</f>
        <v>46691</v>
      </c>
      <c r="CT138" s="272">
        <f>DATE(CT136,11,30)</f>
        <v>46721</v>
      </c>
      <c r="CU138" s="272">
        <f>DATE(CU136,12,31)</f>
        <v>46752</v>
      </c>
      <c r="CV138" s="272">
        <f>DATE(CV136,1,31)</f>
        <v>46783</v>
      </c>
      <c r="CW138" s="272">
        <f>DATE(CW136,2,29)</f>
        <v>46812</v>
      </c>
      <c r="CX138" s="272">
        <f>DATE(CX136,3,31)</f>
        <v>46843</v>
      </c>
      <c r="CY138" s="272">
        <f>DATE(CY136,4,30)</f>
        <v>46873</v>
      </c>
      <c r="CZ138" s="272">
        <f>DATE(CZ136,5,31)</f>
        <v>46904</v>
      </c>
      <c r="DA138" s="272">
        <f>DATE(DA136,6,30)</f>
        <v>46934</v>
      </c>
      <c r="DB138" s="272">
        <f>DATE(DB136,7,31)</f>
        <v>46965</v>
      </c>
      <c r="DC138" s="272">
        <f>DATE(DC136,8,31)</f>
        <v>46996</v>
      </c>
      <c r="DD138" s="272">
        <f>DATE(DD136,9,30)</f>
        <v>47026</v>
      </c>
      <c r="DE138" s="272">
        <f>DATE(DE136,10,31)</f>
        <v>47057</v>
      </c>
      <c r="DF138" s="272">
        <f>DATE(DF136,11,30)</f>
        <v>47087</v>
      </c>
      <c r="DG138" s="272">
        <f>DATE(DG136,12,31)</f>
        <v>47118</v>
      </c>
      <c r="DH138" s="272">
        <f>DATE(DH136,1,31)</f>
        <v>47149</v>
      </c>
      <c r="DI138" s="272">
        <f>DATE(DI136,2,28)</f>
        <v>47177</v>
      </c>
      <c r="DJ138" s="272">
        <f>DATE(DJ136,3,31)</f>
        <v>47208</v>
      </c>
      <c r="DK138" s="272">
        <f>DATE(DK136,4,30)</f>
        <v>47238</v>
      </c>
      <c r="DL138" s="272">
        <f>DATE(DL136,5,31)</f>
        <v>47269</v>
      </c>
      <c r="DM138" s="272">
        <f>DATE(DM136,6,30)</f>
        <v>47299</v>
      </c>
      <c r="DN138" s="272">
        <f>DATE(DN136,7,31)</f>
        <v>47330</v>
      </c>
      <c r="DO138" s="272">
        <f>DATE(DO136,8,31)</f>
        <v>47361</v>
      </c>
      <c r="DP138" s="272">
        <f>DATE(DP136,9,30)</f>
        <v>47391</v>
      </c>
      <c r="DQ138" s="272">
        <f>DATE(DQ136,10,31)</f>
        <v>47422</v>
      </c>
      <c r="DR138" s="272">
        <f>DATE(DR136,11,30)</f>
        <v>47452</v>
      </c>
      <c r="DS138" s="272">
        <f>DATE(DS136,12,31)</f>
        <v>47483</v>
      </c>
      <c r="DT138" s="272">
        <f>DATE(DT136,1,31)</f>
        <v>47514</v>
      </c>
      <c r="DU138" s="272">
        <f>DATE(DU136,2,28)</f>
        <v>47542</v>
      </c>
      <c r="DV138" s="272">
        <f>DATE(DV136,3,31)</f>
        <v>47573</v>
      </c>
      <c r="DW138" s="272">
        <f>DATE(DW136,4,30)</f>
        <v>47603</v>
      </c>
      <c r="DX138" s="272">
        <f>DATE(DX136,5,31)</f>
        <v>47634</v>
      </c>
      <c r="DY138" s="272">
        <f>DATE(DY136,6,30)</f>
        <v>47664</v>
      </c>
      <c r="DZ138" s="272">
        <f>DATE(DZ136,7,31)</f>
        <v>47695</v>
      </c>
      <c r="EA138" s="272">
        <f>DATE(EA136,8,31)</f>
        <v>47726</v>
      </c>
      <c r="EB138" s="272">
        <f>DATE(EB136,9,30)</f>
        <v>47756</v>
      </c>
      <c r="EC138" s="272">
        <f>DATE(EC136,10,31)</f>
        <v>47787</v>
      </c>
      <c r="ED138" s="272">
        <f>DATE(ED136,11,30)</f>
        <v>47817</v>
      </c>
      <c r="EE138" s="272">
        <f>DATE(EE136,12,31)</f>
        <v>47848</v>
      </c>
      <c r="EF138" s="272">
        <f>DATE(EF136,1,31)</f>
        <v>47879</v>
      </c>
      <c r="EG138" s="272">
        <f>DATE(EG136,2,28)</f>
        <v>47907</v>
      </c>
      <c r="EH138" s="272">
        <f>DATE(EH136,3,31)</f>
        <v>47938</v>
      </c>
      <c r="EI138" s="272">
        <f>DATE(EI136,4,30)</f>
        <v>47968</v>
      </c>
      <c r="EJ138" s="272">
        <f>DATE(EJ136,5,31)</f>
        <v>47999</v>
      </c>
      <c r="EK138" s="272">
        <f>DATE(EK136,6,30)</f>
        <v>48029</v>
      </c>
      <c r="EL138" s="272">
        <f>DATE(EL136,7,31)</f>
        <v>48060</v>
      </c>
      <c r="EM138" s="272">
        <f>DATE(EM136,8,31)</f>
        <v>48091</v>
      </c>
      <c r="EN138" s="272">
        <f>DATE(EN136,9,30)</f>
        <v>48121</v>
      </c>
      <c r="EO138" s="272">
        <f>DATE(EO136,10,31)</f>
        <v>48152</v>
      </c>
      <c r="EP138" s="272">
        <f>DATE(EP136,11,30)</f>
        <v>48182</v>
      </c>
      <c r="EQ138" s="273">
        <f>DATE(EQ136,12,31)</f>
        <v>48213</v>
      </c>
    </row>
    <row r="139" spans="1:147" x14ac:dyDescent="0.25">
      <c r="A139" s="218" t="s">
        <v>353</v>
      </c>
      <c r="B139" s="219"/>
      <c r="C139" s="221">
        <f>SUM(D139:EQ139)</f>
        <v>0</v>
      </c>
      <c r="D139" s="221">
        <f t="shared" ref="D139:BA139" si="147">IF(AND(D135&gt;0,OR(J135&gt;1,J135=0),D138&gt;=DATE(YEAR($B$41)+1,MONTH($B$41),DAY($B$41))),PPMT($C132,D135,$C126,-$C124),0)</f>
        <v>0</v>
      </c>
      <c r="E139" s="221">
        <f t="shared" si="147"/>
        <v>0</v>
      </c>
      <c r="F139" s="221">
        <f t="shared" si="147"/>
        <v>0</v>
      </c>
      <c r="G139" s="221">
        <f t="shared" si="147"/>
        <v>0</v>
      </c>
      <c r="H139" s="221">
        <f t="shared" si="147"/>
        <v>0</v>
      </c>
      <c r="I139" s="221">
        <f t="shared" si="147"/>
        <v>0</v>
      </c>
      <c r="J139" s="221">
        <f t="shared" si="147"/>
        <v>0</v>
      </c>
      <c r="K139" s="221">
        <f t="shared" si="147"/>
        <v>0</v>
      </c>
      <c r="L139" s="221">
        <f t="shared" si="147"/>
        <v>0</v>
      </c>
      <c r="M139" s="221">
        <f t="shared" si="147"/>
        <v>0</v>
      </c>
      <c r="N139" s="221">
        <f t="shared" si="147"/>
        <v>0</v>
      </c>
      <c r="O139" s="221">
        <f t="shared" si="147"/>
        <v>0</v>
      </c>
      <c r="P139" s="221">
        <f t="shared" si="147"/>
        <v>0</v>
      </c>
      <c r="Q139" s="221">
        <f t="shared" si="147"/>
        <v>0</v>
      </c>
      <c r="R139" s="221">
        <f t="shared" si="147"/>
        <v>0</v>
      </c>
      <c r="S139" s="221">
        <f t="shared" si="147"/>
        <v>0</v>
      </c>
      <c r="T139" s="221">
        <f t="shared" si="147"/>
        <v>0</v>
      </c>
      <c r="U139" s="221">
        <f t="shared" si="147"/>
        <v>0</v>
      </c>
      <c r="V139" s="221">
        <f t="shared" si="147"/>
        <v>0</v>
      </c>
      <c r="W139" s="221">
        <f t="shared" si="147"/>
        <v>0</v>
      </c>
      <c r="X139" s="221">
        <f t="shared" si="147"/>
        <v>0</v>
      </c>
      <c r="Y139" s="221">
        <f t="shared" si="147"/>
        <v>0</v>
      </c>
      <c r="Z139" s="221">
        <f t="shared" si="147"/>
        <v>0</v>
      </c>
      <c r="AA139" s="221">
        <f t="shared" si="147"/>
        <v>0</v>
      </c>
      <c r="AB139" s="221">
        <f t="shared" si="147"/>
        <v>0</v>
      </c>
      <c r="AC139" s="221">
        <f t="shared" si="147"/>
        <v>0</v>
      </c>
      <c r="AD139" s="221">
        <f t="shared" si="147"/>
        <v>0</v>
      </c>
      <c r="AE139" s="221">
        <f t="shared" si="147"/>
        <v>0</v>
      </c>
      <c r="AF139" s="221">
        <f t="shared" si="147"/>
        <v>0</v>
      </c>
      <c r="AG139" s="221">
        <f t="shared" si="147"/>
        <v>0</v>
      </c>
      <c r="AH139" s="221">
        <f t="shared" si="147"/>
        <v>0</v>
      </c>
      <c r="AI139" s="221">
        <f t="shared" si="147"/>
        <v>0</v>
      </c>
      <c r="AJ139" s="221">
        <f t="shared" si="147"/>
        <v>0</v>
      </c>
      <c r="AK139" s="221">
        <f t="shared" si="147"/>
        <v>0</v>
      </c>
      <c r="AL139" s="221">
        <f t="shared" si="147"/>
        <v>0</v>
      </c>
      <c r="AM139" s="221">
        <f t="shared" si="147"/>
        <v>0</v>
      </c>
      <c r="AN139" s="221">
        <f t="shared" si="147"/>
        <v>0</v>
      </c>
      <c r="AO139" s="221">
        <f t="shared" si="147"/>
        <v>0</v>
      </c>
      <c r="AP139" s="221">
        <f t="shared" si="147"/>
        <v>0</v>
      </c>
      <c r="AQ139" s="221">
        <f t="shared" si="147"/>
        <v>0</v>
      </c>
      <c r="AR139" s="221">
        <f t="shared" si="147"/>
        <v>0</v>
      </c>
      <c r="AS139" s="221">
        <f t="shared" si="147"/>
        <v>0</v>
      </c>
      <c r="AT139" s="221">
        <f t="shared" si="147"/>
        <v>0</v>
      </c>
      <c r="AU139" s="221">
        <f t="shared" si="147"/>
        <v>0</v>
      </c>
      <c r="AV139" s="221">
        <f t="shared" si="147"/>
        <v>0</v>
      </c>
      <c r="AW139" s="221">
        <f t="shared" si="147"/>
        <v>0</v>
      </c>
      <c r="AX139" s="221">
        <f t="shared" si="147"/>
        <v>0</v>
      </c>
      <c r="AY139" s="221">
        <f t="shared" si="147"/>
        <v>0</v>
      </c>
      <c r="AZ139" s="221">
        <f t="shared" si="147"/>
        <v>0</v>
      </c>
      <c r="BA139" s="221">
        <f t="shared" si="147"/>
        <v>0</v>
      </c>
      <c r="BB139" s="221">
        <f>IF(AND(BB135&gt;0,OR(BH135&gt;1,BH135=0),BB138&gt;=DATE(YEAR($B$41)+1,MONTH($B$41),DAY($B$41))),PPMT($C132,BB135,$C126,-$C124),0)</f>
        <v>0</v>
      </c>
      <c r="BC139" s="221">
        <f t="shared" ref="BC139:DN139" si="148">IF(AND(BC135&gt;0,OR(BI135&gt;1,BI135=0),BC138&gt;=DATE(YEAR($B$41)+1,MONTH($B$41),DAY($B$41))),PPMT($C132,BC135,$C126,-$C124),0)</f>
        <v>0</v>
      </c>
      <c r="BD139" s="221">
        <f t="shared" si="148"/>
        <v>0</v>
      </c>
      <c r="BE139" s="221">
        <f t="shared" si="148"/>
        <v>0</v>
      </c>
      <c r="BF139" s="221">
        <f t="shared" si="148"/>
        <v>0</v>
      </c>
      <c r="BG139" s="221">
        <f t="shared" si="148"/>
        <v>0</v>
      </c>
      <c r="BH139" s="221">
        <f t="shared" si="148"/>
        <v>0</v>
      </c>
      <c r="BI139" s="221">
        <f t="shared" si="148"/>
        <v>0</v>
      </c>
      <c r="BJ139" s="221">
        <f t="shared" si="148"/>
        <v>0</v>
      </c>
      <c r="BK139" s="221">
        <f t="shared" si="148"/>
        <v>0</v>
      </c>
      <c r="BL139" s="221">
        <f t="shared" si="148"/>
        <v>0</v>
      </c>
      <c r="BM139" s="221">
        <f t="shared" si="148"/>
        <v>0</v>
      </c>
      <c r="BN139" s="221">
        <f t="shared" si="148"/>
        <v>0</v>
      </c>
      <c r="BO139" s="221">
        <f t="shared" si="148"/>
        <v>0</v>
      </c>
      <c r="BP139" s="221">
        <f t="shared" si="148"/>
        <v>0</v>
      </c>
      <c r="BQ139" s="221">
        <f t="shared" si="148"/>
        <v>0</v>
      </c>
      <c r="BR139" s="221">
        <f t="shared" si="148"/>
        <v>0</v>
      </c>
      <c r="BS139" s="221">
        <f t="shared" si="148"/>
        <v>0</v>
      </c>
      <c r="BT139" s="221">
        <f t="shared" si="148"/>
        <v>0</v>
      </c>
      <c r="BU139" s="221">
        <f t="shared" si="148"/>
        <v>0</v>
      </c>
      <c r="BV139" s="221">
        <f t="shared" si="148"/>
        <v>0</v>
      </c>
      <c r="BW139" s="221">
        <f t="shared" si="148"/>
        <v>0</v>
      </c>
      <c r="BX139" s="221">
        <f t="shared" si="148"/>
        <v>0</v>
      </c>
      <c r="BY139" s="221">
        <f t="shared" si="148"/>
        <v>0</v>
      </c>
      <c r="BZ139" s="221">
        <f t="shared" si="148"/>
        <v>0</v>
      </c>
      <c r="CA139" s="221">
        <f t="shared" si="148"/>
        <v>0</v>
      </c>
      <c r="CB139" s="221">
        <f t="shared" si="148"/>
        <v>0</v>
      </c>
      <c r="CC139" s="221">
        <f t="shared" si="148"/>
        <v>0</v>
      </c>
      <c r="CD139" s="221">
        <f t="shared" si="148"/>
        <v>0</v>
      </c>
      <c r="CE139" s="221">
        <f t="shared" si="148"/>
        <v>0</v>
      </c>
      <c r="CF139" s="221">
        <f t="shared" si="148"/>
        <v>0</v>
      </c>
      <c r="CG139" s="221">
        <f t="shared" si="148"/>
        <v>0</v>
      </c>
      <c r="CH139" s="221">
        <f t="shared" si="148"/>
        <v>0</v>
      </c>
      <c r="CI139" s="221">
        <f t="shared" si="148"/>
        <v>0</v>
      </c>
      <c r="CJ139" s="221">
        <f t="shared" si="148"/>
        <v>0</v>
      </c>
      <c r="CK139" s="221">
        <f t="shared" si="148"/>
        <v>0</v>
      </c>
      <c r="CL139" s="221">
        <f t="shared" si="148"/>
        <v>0</v>
      </c>
      <c r="CM139" s="221">
        <f t="shared" si="148"/>
        <v>0</v>
      </c>
      <c r="CN139" s="221">
        <f t="shared" si="148"/>
        <v>0</v>
      </c>
      <c r="CO139" s="221">
        <f t="shared" si="148"/>
        <v>0</v>
      </c>
      <c r="CP139" s="221">
        <f t="shared" si="148"/>
        <v>0</v>
      </c>
      <c r="CQ139" s="221">
        <f t="shared" si="148"/>
        <v>0</v>
      </c>
      <c r="CR139" s="221">
        <f t="shared" si="148"/>
        <v>0</v>
      </c>
      <c r="CS139" s="221">
        <f t="shared" si="148"/>
        <v>0</v>
      </c>
      <c r="CT139" s="221">
        <f t="shared" si="148"/>
        <v>0</v>
      </c>
      <c r="CU139" s="221">
        <f t="shared" si="148"/>
        <v>0</v>
      </c>
      <c r="CV139" s="221">
        <f t="shared" si="148"/>
        <v>0</v>
      </c>
      <c r="CW139" s="221">
        <f t="shared" si="148"/>
        <v>0</v>
      </c>
      <c r="CX139" s="221">
        <f t="shared" si="148"/>
        <v>0</v>
      </c>
      <c r="CY139" s="221">
        <f t="shared" si="148"/>
        <v>0</v>
      </c>
      <c r="CZ139" s="221">
        <f t="shared" si="148"/>
        <v>0</v>
      </c>
      <c r="DA139" s="221">
        <f t="shared" si="148"/>
        <v>0</v>
      </c>
      <c r="DB139" s="221">
        <f t="shared" si="148"/>
        <v>0</v>
      </c>
      <c r="DC139" s="221">
        <f t="shared" si="148"/>
        <v>0</v>
      </c>
      <c r="DD139" s="221">
        <f t="shared" si="148"/>
        <v>0</v>
      </c>
      <c r="DE139" s="221">
        <f t="shared" si="148"/>
        <v>0</v>
      </c>
      <c r="DF139" s="221">
        <f t="shared" si="148"/>
        <v>0</v>
      </c>
      <c r="DG139" s="221">
        <f t="shared" si="148"/>
        <v>0</v>
      </c>
      <c r="DH139" s="221">
        <f t="shared" si="148"/>
        <v>0</v>
      </c>
      <c r="DI139" s="221">
        <f t="shared" si="148"/>
        <v>0</v>
      </c>
      <c r="DJ139" s="221">
        <f t="shared" si="148"/>
        <v>0</v>
      </c>
      <c r="DK139" s="221">
        <f t="shared" si="148"/>
        <v>0</v>
      </c>
      <c r="DL139" s="221">
        <f t="shared" si="148"/>
        <v>0</v>
      </c>
      <c r="DM139" s="221">
        <f t="shared" si="148"/>
        <v>0</v>
      </c>
      <c r="DN139" s="221">
        <f t="shared" si="148"/>
        <v>0</v>
      </c>
      <c r="DO139" s="221">
        <f t="shared" ref="DO139:EQ139" si="149">IF(AND(DO135&gt;0,OR(DU135&gt;1,DU135=0),DO138&gt;=DATE(YEAR($B$41)+1,MONTH($B$41),DAY($B$41))),PPMT($C132,DO135,$C126,-$C124),0)</f>
        <v>0</v>
      </c>
      <c r="DP139" s="221">
        <f t="shared" si="149"/>
        <v>0</v>
      </c>
      <c r="DQ139" s="221">
        <f t="shared" si="149"/>
        <v>0</v>
      </c>
      <c r="DR139" s="221">
        <f t="shared" si="149"/>
        <v>0</v>
      </c>
      <c r="DS139" s="221">
        <f t="shared" si="149"/>
        <v>0</v>
      </c>
      <c r="DT139" s="221">
        <f t="shared" si="149"/>
        <v>0</v>
      </c>
      <c r="DU139" s="221">
        <f t="shared" si="149"/>
        <v>0</v>
      </c>
      <c r="DV139" s="221">
        <f t="shared" si="149"/>
        <v>0</v>
      </c>
      <c r="DW139" s="221">
        <f t="shared" si="149"/>
        <v>0</v>
      </c>
      <c r="DX139" s="221">
        <f t="shared" si="149"/>
        <v>0</v>
      </c>
      <c r="DY139" s="221">
        <f t="shared" si="149"/>
        <v>0</v>
      </c>
      <c r="DZ139" s="221">
        <f t="shared" si="149"/>
        <v>0</v>
      </c>
      <c r="EA139" s="221">
        <f t="shared" si="149"/>
        <v>0</v>
      </c>
      <c r="EB139" s="221">
        <f t="shared" si="149"/>
        <v>0</v>
      </c>
      <c r="EC139" s="221">
        <f t="shared" si="149"/>
        <v>0</v>
      </c>
      <c r="ED139" s="221">
        <f t="shared" si="149"/>
        <v>0</v>
      </c>
      <c r="EE139" s="221">
        <f t="shared" si="149"/>
        <v>0</v>
      </c>
      <c r="EF139" s="221">
        <f t="shared" si="149"/>
        <v>0</v>
      </c>
      <c r="EG139" s="221">
        <f t="shared" si="149"/>
        <v>0</v>
      </c>
      <c r="EH139" s="221">
        <f t="shared" si="149"/>
        <v>0</v>
      </c>
      <c r="EI139" s="221">
        <f t="shared" si="149"/>
        <v>0</v>
      </c>
      <c r="EJ139" s="221">
        <f t="shared" si="149"/>
        <v>0</v>
      </c>
      <c r="EK139" s="221">
        <f t="shared" si="149"/>
        <v>0</v>
      </c>
      <c r="EL139" s="221">
        <f t="shared" si="149"/>
        <v>0</v>
      </c>
      <c r="EM139" s="221">
        <f t="shared" si="149"/>
        <v>0</v>
      </c>
      <c r="EN139" s="221">
        <f t="shared" si="149"/>
        <v>0</v>
      </c>
      <c r="EO139" s="221">
        <f t="shared" si="149"/>
        <v>0</v>
      </c>
      <c r="EP139" s="221">
        <f t="shared" si="149"/>
        <v>0</v>
      </c>
      <c r="EQ139" s="222">
        <f t="shared" si="149"/>
        <v>0</v>
      </c>
    </row>
    <row r="140" spans="1:147" x14ac:dyDescent="0.25">
      <c r="A140" s="226" t="s">
        <v>354</v>
      </c>
      <c r="B140" s="227"/>
      <c r="C140" s="228">
        <f>SUM(D140:EQ140)</f>
        <v>0</v>
      </c>
      <c r="D140" s="228">
        <f t="shared" ref="D140" si="150">IF(D135&gt;0,IPMT($C132,D135,$C126,-$C124),0)</f>
        <v>0</v>
      </c>
      <c r="E140" s="228">
        <f t="shared" ref="E140:BP140" si="151">IF(AND(E135&gt;0,E137&gt;DATE(YEAR($B$41)+1,MONTH($B$41),DAY($B$41))),IPMT($C132,E135,$C126,-$C124),0)+IF(AND(E135&gt;0,E137&lt;DATE(YEAR($B$41)+1,MONTH($B$41),DAY($B$41))),$C124*$C130,0)</f>
        <v>0</v>
      </c>
      <c r="F140" s="228">
        <f t="shared" si="151"/>
        <v>0</v>
      </c>
      <c r="G140" s="228">
        <f t="shared" si="151"/>
        <v>0</v>
      </c>
      <c r="H140" s="228">
        <f t="shared" si="151"/>
        <v>0</v>
      </c>
      <c r="I140" s="228">
        <f t="shared" si="151"/>
        <v>0</v>
      </c>
      <c r="J140" s="228">
        <f t="shared" si="151"/>
        <v>0</v>
      </c>
      <c r="K140" s="228">
        <f t="shared" si="151"/>
        <v>0</v>
      </c>
      <c r="L140" s="228">
        <f t="shared" si="151"/>
        <v>0</v>
      </c>
      <c r="M140" s="228">
        <f t="shared" si="151"/>
        <v>0</v>
      </c>
      <c r="N140" s="228">
        <f t="shared" si="151"/>
        <v>0</v>
      </c>
      <c r="O140" s="228">
        <f t="shared" si="151"/>
        <v>0</v>
      </c>
      <c r="P140" s="228">
        <f t="shared" si="151"/>
        <v>0</v>
      </c>
      <c r="Q140" s="228">
        <f t="shared" si="151"/>
        <v>0</v>
      </c>
      <c r="R140" s="228">
        <f t="shared" si="151"/>
        <v>0</v>
      </c>
      <c r="S140" s="228">
        <f t="shared" si="151"/>
        <v>0</v>
      </c>
      <c r="T140" s="228">
        <f t="shared" si="151"/>
        <v>0</v>
      </c>
      <c r="U140" s="228">
        <f t="shared" si="151"/>
        <v>0</v>
      </c>
      <c r="V140" s="228">
        <f t="shared" si="151"/>
        <v>0</v>
      </c>
      <c r="W140" s="228">
        <f t="shared" si="151"/>
        <v>0</v>
      </c>
      <c r="X140" s="228">
        <f t="shared" si="151"/>
        <v>0</v>
      </c>
      <c r="Y140" s="228">
        <f t="shared" si="151"/>
        <v>0</v>
      </c>
      <c r="Z140" s="228">
        <f t="shared" si="151"/>
        <v>0</v>
      </c>
      <c r="AA140" s="228">
        <f t="shared" si="151"/>
        <v>0</v>
      </c>
      <c r="AB140" s="228">
        <f t="shared" si="151"/>
        <v>0</v>
      </c>
      <c r="AC140" s="228">
        <f t="shared" si="151"/>
        <v>0</v>
      </c>
      <c r="AD140" s="228">
        <f t="shared" si="151"/>
        <v>0</v>
      </c>
      <c r="AE140" s="228">
        <f t="shared" si="151"/>
        <v>0</v>
      </c>
      <c r="AF140" s="228">
        <f t="shared" si="151"/>
        <v>0</v>
      </c>
      <c r="AG140" s="228">
        <f t="shared" si="151"/>
        <v>0</v>
      </c>
      <c r="AH140" s="228">
        <f t="shared" si="151"/>
        <v>0</v>
      </c>
      <c r="AI140" s="228">
        <f t="shared" si="151"/>
        <v>0</v>
      </c>
      <c r="AJ140" s="228">
        <f t="shared" si="151"/>
        <v>0</v>
      </c>
      <c r="AK140" s="228">
        <f t="shared" si="151"/>
        <v>0</v>
      </c>
      <c r="AL140" s="228">
        <f t="shared" si="151"/>
        <v>0</v>
      </c>
      <c r="AM140" s="228">
        <f t="shared" si="151"/>
        <v>0</v>
      </c>
      <c r="AN140" s="228">
        <f t="shared" si="151"/>
        <v>0</v>
      </c>
      <c r="AO140" s="228">
        <f t="shared" si="151"/>
        <v>0</v>
      </c>
      <c r="AP140" s="228">
        <f t="shared" si="151"/>
        <v>0</v>
      </c>
      <c r="AQ140" s="228">
        <f t="shared" si="151"/>
        <v>0</v>
      </c>
      <c r="AR140" s="228">
        <f t="shared" si="151"/>
        <v>0</v>
      </c>
      <c r="AS140" s="228">
        <f t="shared" si="151"/>
        <v>0</v>
      </c>
      <c r="AT140" s="228">
        <f t="shared" si="151"/>
        <v>0</v>
      </c>
      <c r="AU140" s="228">
        <f t="shared" si="151"/>
        <v>0</v>
      </c>
      <c r="AV140" s="228">
        <f t="shared" si="151"/>
        <v>0</v>
      </c>
      <c r="AW140" s="228">
        <f t="shared" si="151"/>
        <v>0</v>
      </c>
      <c r="AX140" s="228">
        <f t="shared" si="151"/>
        <v>0</v>
      </c>
      <c r="AY140" s="228">
        <f t="shared" si="151"/>
        <v>0</v>
      </c>
      <c r="AZ140" s="228">
        <f t="shared" si="151"/>
        <v>0</v>
      </c>
      <c r="BA140" s="228">
        <f t="shared" si="151"/>
        <v>0</v>
      </c>
      <c r="BB140" s="228">
        <f t="shared" si="151"/>
        <v>0</v>
      </c>
      <c r="BC140" s="228">
        <f t="shared" si="151"/>
        <v>0</v>
      </c>
      <c r="BD140" s="228">
        <f t="shared" si="151"/>
        <v>0</v>
      </c>
      <c r="BE140" s="228">
        <f t="shared" si="151"/>
        <v>0</v>
      </c>
      <c r="BF140" s="228">
        <f t="shared" si="151"/>
        <v>0</v>
      </c>
      <c r="BG140" s="228">
        <f t="shared" si="151"/>
        <v>0</v>
      </c>
      <c r="BH140" s="228">
        <f t="shared" si="151"/>
        <v>0</v>
      </c>
      <c r="BI140" s="228">
        <f t="shared" si="151"/>
        <v>0</v>
      </c>
      <c r="BJ140" s="228">
        <f t="shared" si="151"/>
        <v>0</v>
      </c>
      <c r="BK140" s="228">
        <f t="shared" si="151"/>
        <v>0</v>
      </c>
      <c r="BL140" s="228">
        <f t="shared" si="151"/>
        <v>0</v>
      </c>
      <c r="BM140" s="228">
        <f t="shared" si="151"/>
        <v>0</v>
      </c>
      <c r="BN140" s="228">
        <f t="shared" si="151"/>
        <v>0</v>
      </c>
      <c r="BO140" s="228">
        <f t="shared" si="151"/>
        <v>0</v>
      </c>
      <c r="BP140" s="228">
        <f t="shared" si="151"/>
        <v>0</v>
      </c>
      <c r="BQ140" s="228">
        <f t="shared" ref="BQ140:BS140" si="152">IF(AND(BQ135&gt;0,BQ137&gt;DATE(YEAR($B$41)+1,MONTH($B$41),DAY($B$41))),IPMT($C132,BQ135,$C126,-$C124),0)+IF(AND(BQ135&gt;0,BQ137&lt;DATE(YEAR($B$41)+1,MONTH($B$41),DAY($B$41))),$C124*$C130,0)</f>
        <v>0</v>
      </c>
      <c r="BR140" s="228">
        <f t="shared" si="152"/>
        <v>0</v>
      </c>
      <c r="BS140" s="228">
        <f t="shared" si="152"/>
        <v>0</v>
      </c>
      <c r="BT140" s="228">
        <f>IF(AND(BT135&gt;0,BT137&gt;DATE(YEAR($B$41)+1,MONTH($B$41),DAY($B$41))),IPMT($C132,BT135,$C126,-$C124),0)+IF(AND(BT135&gt;0,BT137&lt;DATE(YEAR($B$41)+1,MONTH($B$41),DAY($B$41))),$C124*$C130,0)</f>
        <v>0</v>
      </c>
      <c r="BU140" s="228">
        <f t="shared" ref="BU140:EF140" si="153">IF(AND(BU135&gt;0,BU137&gt;DATE(YEAR($B$41)+1,MONTH($B$41),DAY($B$41))),IPMT($C132,BU135,$C126,-$C124),0)+IF(AND(BU135&gt;0,BU137&lt;DATE(YEAR($B$41)+1,MONTH($B$41),DAY($B$41))),$C124*$C130,0)</f>
        <v>0</v>
      </c>
      <c r="BV140" s="228">
        <f t="shared" si="153"/>
        <v>0</v>
      </c>
      <c r="BW140" s="228">
        <f t="shared" si="153"/>
        <v>0</v>
      </c>
      <c r="BX140" s="228">
        <f t="shared" si="153"/>
        <v>0</v>
      </c>
      <c r="BY140" s="228">
        <f t="shared" si="153"/>
        <v>0</v>
      </c>
      <c r="BZ140" s="228">
        <f t="shared" si="153"/>
        <v>0</v>
      </c>
      <c r="CA140" s="228">
        <f t="shared" si="153"/>
        <v>0</v>
      </c>
      <c r="CB140" s="228">
        <f t="shared" si="153"/>
        <v>0</v>
      </c>
      <c r="CC140" s="228">
        <f t="shared" si="153"/>
        <v>0</v>
      </c>
      <c r="CD140" s="228">
        <f t="shared" si="153"/>
        <v>0</v>
      </c>
      <c r="CE140" s="228">
        <f t="shared" si="153"/>
        <v>0</v>
      </c>
      <c r="CF140" s="228">
        <f t="shared" si="153"/>
        <v>0</v>
      </c>
      <c r="CG140" s="228">
        <f t="shared" si="153"/>
        <v>0</v>
      </c>
      <c r="CH140" s="228">
        <f t="shared" si="153"/>
        <v>0</v>
      </c>
      <c r="CI140" s="228">
        <f t="shared" si="153"/>
        <v>0</v>
      </c>
      <c r="CJ140" s="228">
        <f t="shared" si="153"/>
        <v>0</v>
      </c>
      <c r="CK140" s="228">
        <f t="shared" si="153"/>
        <v>0</v>
      </c>
      <c r="CL140" s="228">
        <f t="shared" si="153"/>
        <v>0</v>
      </c>
      <c r="CM140" s="228">
        <f t="shared" si="153"/>
        <v>0</v>
      </c>
      <c r="CN140" s="228">
        <f t="shared" si="153"/>
        <v>0</v>
      </c>
      <c r="CO140" s="228">
        <f t="shared" si="153"/>
        <v>0</v>
      </c>
      <c r="CP140" s="228">
        <f t="shared" si="153"/>
        <v>0</v>
      </c>
      <c r="CQ140" s="228">
        <f t="shared" si="153"/>
        <v>0</v>
      </c>
      <c r="CR140" s="228">
        <f t="shared" si="153"/>
        <v>0</v>
      </c>
      <c r="CS140" s="228">
        <f t="shared" si="153"/>
        <v>0</v>
      </c>
      <c r="CT140" s="228">
        <f t="shared" si="153"/>
        <v>0</v>
      </c>
      <c r="CU140" s="228">
        <f t="shared" si="153"/>
        <v>0</v>
      </c>
      <c r="CV140" s="228">
        <f t="shared" si="153"/>
        <v>0</v>
      </c>
      <c r="CW140" s="228">
        <f t="shared" si="153"/>
        <v>0</v>
      </c>
      <c r="CX140" s="228">
        <f t="shared" si="153"/>
        <v>0</v>
      </c>
      <c r="CY140" s="228">
        <f t="shared" si="153"/>
        <v>0</v>
      </c>
      <c r="CZ140" s="228">
        <f t="shared" si="153"/>
        <v>0</v>
      </c>
      <c r="DA140" s="228">
        <f t="shared" si="153"/>
        <v>0</v>
      </c>
      <c r="DB140" s="228">
        <f t="shared" si="153"/>
        <v>0</v>
      </c>
      <c r="DC140" s="228">
        <f t="shared" si="153"/>
        <v>0</v>
      </c>
      <c r="DD140" s="228">
        <f t="shared" si="153"/>
        <v>0</v>
      </c>
      <c r="DE140" s="228">
        <f t="shared" si="153"/>
        <v>0</v>
      </c>
      <c r="DF140" s="228">
        <f t="shared" si="153"/>
        <v>0</v>
      </c>
      <c r="DG140" s="228">
        <f t="shared" si="153"/>
        <v>0</v>
      </c>
      <c r="DH140" s="228">
        <f t="shared" si="153"/>
        <v>0</v>
      </c>
      <c r="DI140" s="228">
        <f t="shared" si="153"/>
        <v>0</v>
      </c>
      <c r="DJ140" s="228">
        <f t="shared" si="153"/>
        <v>0</v>
      </c>
      <c r="DK140" s="228">
        <f t="shared" si="153"/>
        <v>0</v>
      </c>
      <c r="DL140" s="228">
        <f t="shared" si="153"/>
        <v>0</v>
      </c>
      <c r="DM140" s="228">
        <f t="shared" si="153"/>
        <v>0</v>
      </c>
      <c r="DN140" s="228">
        <f t="shared" si="153"/>
        <v>0</v>
      </c>
      <c r="DO140" s="228">
        <f t="shared" si="153"/>
        <v>0</v>
      </c>
      <c r="DP140" s="228">
        <f t="shared" si="153"/>
        <v>0</v>
      </c>
      <c r="DQ140" s="228">
        <f t="shared" si="153"/>
        <v>0</v>
      </c>
      <c r="DR140" s="228">
        <f t="shared" si="153"/>
        <v>0</v>
      </c>
      <c r="DS140" s="228">
        <f t="shared" si="153"/>
        <v>0</v>
      </c>
      <c r="DT140" s="228">
        <f t="shared" si="153"/>
        <v>0</v>
      </c>
      <c r="DU140" s="228">
        <f t="shared" si="153"/>
        <v>0</v>
      </c>
      <c r="DV140" s="228">
        <f t="shared" si="153"/>
        <v>0</v>
      </c>
      <c r="DW140" s="228">
        <f t="shared" si="153"/>
        <v>0</v>
      </c>
      <c r="DX140" s="228">
        <f t="shared" si="153"/>
        <v>0</v>
      </c>
      <c r="DY140" s="228">
        <f t="shared" si="153"/>
        <v>0</v>
      </c>
      <c r="DZ140" s="228">
        <f t="shared" si="153"/>
        <v>0</v>
      </c>
      <c r="EA140" s="228">
        <f t="shared" si="153"/>
        <v>0</v>
      </c>
      <c r="EB140" s="228">
        <f t="shared" si="153"/>
        <v>0</v>
      </c>
      <c r="EC140" s="228">
        <f t="shared" si="153"/>
        <v>0</v>
      </c>
      <c r="ED140" s="228">
        <f t="shared" si="153"/>
        <v>0</v>
      </c>
      <c r="EE140" s="228">
        <f t="shared" si="153"/>
        <v>0</v>
      </c>
      <c r="EF140" s="228">
        <f t="shared" si="153"/>
        <v>0</v>
      </c>
      <c r="EG140" s="228">
        <f t="shared" ref="EG140:EQ140" si="154">IF(AND(EG135&gt;0,EG137&gt;DATE(YEAR($B$41)+1,MONTH($B$41),DAY($B$41))),IPMT($C132,EG135,$C126,-$C124),0)+IF(AND(EG135&gt;0,EG137&lt;DATE(YEAR($B$41)+1,MONTH($B$41),DAY($B$41))),$C124*$C130,0)</f>
        <v>0</v>
      </c>
      <c r="EH140" s="228">
        <f t="shared" si="154"/>
        <v>0</v>
      </c>
      <c r="EI140" s="228">
        <f t="shared" si="154"/>
        <v>0</v>
      </c>
      <c r="EJ140" s="228">
        <f t="shared" si="154"/>
        <v>0</v>
      </c>
      <c r="EK140" s="228">
        <f t="shared" si="154"/>
        <v>0</v>
      </c>
      <c r="EL140" s="228">
        <f t="shared" si="154"/>
        <v>0</v>
      </c>
      <c r="EM140" s="228">
        <f t="shared" si="154"/>
        <v>0</v>
      </c>
      <c r="EN140" s="228">
        <f t="shared" si="154"/>
        <v>0</v>
      </c>
      <c r="EO140" s="228">
        <f t="shared" si="154"/>
        <v>0</v>
      </c>
      <c r="EP140" s="228">
        <f t="shared" si="154"/>
        <v>0</v>
      </c>
      <c r="EQ140" s="229">
        <f t="shared" si="154"/>
        <v>0</v>
      </c>
    </row>
    <row r="141" spans="1:147" x14ac:dyDescent="0.25">
      <c r="A141" s="226" t="s">
        <v>355</v>
      </c>
      <c r="B141" s="227"/>
      <c r="C141" s="228">
        <f>SUM(D141:EQ141)</f>
        <v>0</v>
      </c>
      <c r="D141" s="228">
        <f t="shared" ref="D141:BO141" si="155">IF(D137=$C123,$C124*$C134,0)</f>
        <v>0</v>
      </c>
      <c r="E141" s="228">
        <f t="shared" si="155"/>
        <v>0</v>
      </c>
      <c r="F141" s="228">
        <f t="shared" si="155"/>
        <v>0</v>
      </c>
      <c r="G141" s="228">
        <f t="shared" si="155"/>
        <v>0</v>
      </c>
      <c r="H141" s="228">
        <f t="shared" si="155"/>
        <v>0</v>
      </c>
      <c r="I141" s="228">
        <f t="shared" si="155"/>
        <v>0</v>
      </c>
      <c r="J141" s="228">
        <f t="shared" si="155"/>
        <v>0</v>
      </c>
      <c r="K141" s="228">
        <f t="shared" si="155"/>
        <v>0</v>
      </c>
      <c r="L141" s="228">
        <f t="shared" si="155"/>
        <v>0</v>
      </c>
      <c r="M141" s="228">
        <f t="shared" si="155"/>
        <v>0</v>
      </c>
      <c r="N141" s="228">
        <f t="shared" si="155"/>
        <v>0</v>
      </c>
      <c r="O141" s="228">
        <f t="shared" si="155"/>
        <v>0</v>
      </c>
      <c r="P141" s="228">
        <f t="shared" si="155"/>
        <v>0</v>
      </c>
      <c r="Q141" s="228">
        <f t="shared" si="155"/>
        <v>0</v>
      </c>
      <c r="R141" s="228">
        <f t="shared" si="155"/>
        <v>0</v>
      </c>
      <c r="S141" s="228">
        <f t="shared" si="155"/>
        <v>0</v>
      </c>
      <c r="T141" s="228">
        <f t="shared" si="155"/>
        <v>0</v>
      </c>
      <c r="U141" s="228">
        <f t="shared" si="155"/>
        <v>0</v>
      </c>
      <c r="V141" s="228">
        <f t="shared" si="155"/>
        <v>0</v>
      </c>
      <c r="W141" s="228">
        <f t="shared" si="155"/>
        <v>0</v>
      </c>
      <c r="X141" s="228">
        <f t="shared" si="155"/>
        <v>0</v>
      </c>
      <c r="Y141" s="228">
        <f t="shared" si="155"/>
        <v>0</v>
      </c>
      <c r="Z141" s="228">
        <f t="shared" si="155"/>
        <v>0</v>
      </c>
      <c r="AA141" s="228">
        <f t="shared" si="155"/>
        <v>0</v>
      </c>
      <c r="AB141" s="228">
        <f t="shared" si="155"/>
        <v>0</v>
      </c>
      <c r="AC141" s="228">
        <f t="shared" si="155"/>
        <v>0</v>
      </c>
      <c r="AD141" s="228">
        <f t="shared" si="155"/>
        <v>0</v>
      </c>
      <c r="AE141" s="228">
        <f t="shared" si="155"/>
        <v>0</v>
      </c>
      <c r="AF141" s="228">
        <f t="shared" si="155"/>
        <v>0</v>
      </c>
      <c r="AG141" s="228">
        <f t="shared" si="155"/>
        <v>0</v>
      </c>
      <c r="AH141" s="228">
        <f t="shared" si="155"/>
        <v>0</v>
      </c>
      <c r="AI141" s="228">
        <f t="shared" si="155"/>
        <v>0</v>
      </c>
      <c r="AJ141" s="228">
        <f t="shared" si="155"/>
        <v>0</v>
      </c>
      <c r="AK141" s="228">
        <f t="shared" si="155"/>
        <v>0</v>
      </c>
      <c r="AL141" s="228">
        <f t="shared" si="155"/>
        <v>0</v>
      </c>
      <c r="AM141" s="228">
        <f t="shared" si="155"/>
        <v>0</v>
      </c>
      <c r="AN141" s="228">
        <f t="shared" si="155"/>
        <v>0</v>
      </c>
      <c r="AO141" s="228">
        <f t="shared" si="155"/>
        <v>0</v>
      </c>
      <c r="AP141" s="228">
        <f t="shared" si="155"/>
        <v>0</v>
      </c>
      <c r="AQ141" s="228">
        <f t="shared" si="155"/>
        <v>0</v>
      </c>
      <c r="AR141" s="228">
        <f t="shared" si="155"/>
        <v>0</v>
      </c>
      <c r="AS141" s="228">
        <f t="shared" si="155"/>
        <v>0</v>
      </c>
      <c r="AT141" s="228">
        <f t="shared" si="155"/>
        <v>0</v>
      </c>
      <c r="AU141" s="228">
        <f t="shared" si="155"/>
        <v>0</v>
      </c>
      <c r="AV141" s="228">
        <f t="shared" si="155"/>
        <v>0</v>
      </c>
      <c r="AW141" s="228">
        <f t="shared" si="155"/>
        <v>0</v>
      </c>
      <c r="AX141" s="228">
        <f t="shared" si="155"/>
        <v>0</v>
      </c>
      <c r="AY141" s="228">
        <f t="shared" si="155"/>
        <v>0</v>
      </c>
      <c r="AZ141" s="228">
        <f t="shared" si="155"/>
        <v>0</v>
      </c>
      <c r="BA141" s="228">
        <f t="shared" si="155"/>
        <v>0</v>
      </c>
      <c r="BB141" s="228">
        <f t="shared" si="155"/>
        <v>0</v>
      </c>
      <c r="BC141" s="228">
        <f t="shared" si="155"/>
        <v>0</v>
      </c>
      <c r="BD141" s="228">
        <f t="shared" si="155"/>
        <v>0</v>
      </c>
      <c r="BE141" s="228">
        <f t="shared" si="155"/>
        <v>0</v>
      </c>
      <c r="BF141" s="228">
        <f t="shared" si="155"/>
        <v>0</v>
      </c>
      <c r="BG141" s="228">
        <f t="shared" si="155"/>
        <v>0</v>
      </c>
      <c r="BH141" s="228">
        <f t="shared" si="155"/>
        <v>0</v>
      </c>
      <c r="BI141" s="228">
        <f t="shared" si="155"/>
        <v>0</v>
      </c>
      <c r="BJ141" s="228">
        <f t="shared" si="155"/>
        <v>0</v>
      </c>
      <c r="BK141" s="228">
        <f t="shared" si="155"/>
        <v>0</v>
      </c>
      <c r="BL141" s="228">
        <f t="shared" si="155"/>
        <v>0</v>
      </c>
      <c r="BM141" s="228">
        <f t="shared" si="155"/>
        <v>0</v>
      </c>
      <c r="BN141" s="228">
        <f t="shared" si="155"/>
        <v>0</v>
      </c>
      <c r="BO141" s="228">
        <f t="shared" si="155"/>
        <v>0</v>
      </c>
      <c r="BP141" s="228">
        <f t="shared" ref="BP141:EA141" si="156">IF(BP137=$C123,$C124*$C134,0)</f>
        <v>0</v>
      </c>
      <c r="BQ141" s="228">
        <f t="shared" si="156"/>
        <v>0</v>
      </c>
      <c r="BR141" s="228">
        <f t="shared" si="156"/>
        <v>0</v>
      </c>
      <c r="BS141" s="228">
        <f t="shared" si="156"/>
        <v>0</v>
      </c>
      <c r="BT141" s="228">
        <f t="shared" si="156"/>
        <v>0</v>
      </c>
      <c r="BU141" s="228">
        <f t="shared" si="156"/>
        <v>0</v>
      </c>
      <c r="BV141" s="228">
        <f t="shared" si="156"/>
        <v>0</v>
      </c>
      <c r="BW141" s="228">
        <f t="shared" si="156"/>
        <v>0</v>
      </c>
      <c r="BX141" s="228">
        <f t="shared" si="156"/>
        <v>0</v>
      </c>
      <c r="BY141" s="228">
        <f t="shared" si="156"/>
        <v>0</v>
      </c>
      <c r="BZ141" s="228">
        <f t="shared" si="156"/>
        <v>0</v>
      </c>
      <c r="CA141" s="228">
        <f t="shared" si="156"/>
        <v>0</v>
      </c>
      <c r="CB141" s="228">
        <f t="shared" si="156"/>
        <v>0</v>
      </c>
      <c r="CC141" s="228">
        <f t="shared" si="156"/>
        <v>0</v>
      </c>
      <c r="CD141" s="228">
        <f t="shared" si="156"/>
        <v>0</v>
      </c>
      <c r="CE141" s="228">
        <f t="shared" si="156"/>
        <v>0</v>
      </c>
      <c r="CF141" s="228">
        <f t="shared" si="156"/>
        <v>0</v>
      </c>
      <c r="CG141" s="228">
        <f t="shared" si="156"/>
        <v>0</v>
      </c>
      <c r="CH141" s="228">
        <f t="shared" si="156"/>
        <v>0</v>
      </c>
      <c r="CI141" s="228">
        <f t="shared" si="156"/>
        <v>0</v>
      </c>
      <c r="CJ141" s="228">
        <f t="shared" si="156"/>
        <v>0</v>
      </c>
      <c r="CK141" s="228">
        <f t="shared" si="156"/>
        <v>0</v>
      </c>
      <c r="CL141" s="228">
        <f t="shared" si="156"/>
        <v>0</v>
      </c>
      <c r="CM141" s="228">
        <f t="shared" si="156"/>
        <v>0</v>
      </c>
      <c r="CN141" s="228">
        <f t="shared" si="156"/>
        <v>0</v>
      </c>
      <c r="CO141" s="228">
        <f t="shared" si="156"/>
        <v>0</v>
      </c>
      <c r="CP141" s="228">
        <f t="shared" si="156"/>
        <v>0</v>
      </c>
      <c r="CQ141" s="228">
        <f t="shared" si="156"/>
        <v>0</v>
      </c>
      <c r="CR141" s="228">
        <f t="shared" si="156"/>
        <v>0</v>
      </c>
      <c r="CS141" s="228">
        <f t="shared" si="156"/>
        <v>0</v>
      </c>
      <c r="CT141" s="228">
        <f t="shared" si="156"/>
        <v>0</v>
      </c>
      <c r="CU141" s="228">
        <f t="shared" si="156"/>
        <v>0</v>
      </c>
      <c r="CV141" s="228">
        <f t="shared" si="156"/>
        <v>0</v>
      </c>
      <c r="CW141" s="228">
        <f t="shared" si="156"/>
        <v>0</v>
      </c>
      <c r="CX141" s="228">
        <f t="shared" si="156"/>
        <v>0</v>
      </c>
      <c r="CY141" s="228">
        <f t="shared" si="156"/>
        <v>0</v>
      </c>
      <c r="CZ141" s="228">
        <f t="shared" si="156"/>
        <v>0</v>
      </c>
      <c r="DA141" s="228">
        <f t="shared" si="156"/>
        <v>0</v>
      </c>
      <c r="DB141" s="228">
        <f t="shared" si="156"/>
        <v>0</v>
      </c>
      <c r="DC141" s="228">
        <f t="shared" si="156"/>
        <v>0</v>
      </c>
      <c r="DD141" s="228">
        <f t="shared" si="156"/>
        <v>0</v>
      </c>
      <c r="DE141" s="228">
        <f t="shared" si="156"/>
        <v>0</v>
      </c>
      <c r="DF141" s="228">
        <f t="shared" si="156"/>
        <v>0</v>
      </c>
      <c r="DG141" s="228">
        <f t="shared" si="156"/>
        <v>0</v>
      </c>
      <c r="DH141" s="228">
        <f t="shared" si="156"/>
        <v>0</v>
      </c>
      <c r="DI141" s="228">
        <f t="shared" si="156"/>
        <v>0</v>
      </c>
      <c r="DJ141" s="228">
        <f t="shared" si="156"/>
        <v>0</v>
      </c>
      <c r="DK141" s="228">
        <f t="shared" si="156"/>
        <v>0</v>
      </c>
      <c r="DL141" s="228">
        <f t="shared" si="156"/>
        <v>0</v>
      </c>
      <c r="DM141" s="228">
        <f t="shared" si="156"/>
        <v>0</v>
      </c>
      <c r="DN141" s="228">
        <f t="shared" si="156"/>
        <v>0</v>
      </c>
      <c r="DO141" s="228">
        <f t="shared" si="156"/>
        <v>0</v>
      </c>
      <c r="DP141" s="228">
        <f t="shared" si="156"/>
        <v>0</v>
      </c>
      <c r="DQ141" s="228">
        <f t="shared" si="156"/>
        <v>0</v>
      </c>
      <c r="DR141" s="228">
        <f t="shared" si="156"/>
        <v>0</v>
      </c>
      <c r="DS141" s="228">
        <f t="shared" si="156"/>
        <v>0</v>
      </c>
      <c r="DT141" s="228">
        <f t="shared" si="156"/>
        <v>0</v>
      </c>
      <c r="DU141" s="228">
        <f t="shared" si="156"/>
        <v>0</v>
      </c>
      <c r="DV141" s="228">
        <f t="shared" si="156"/>
        <v>0</v>
      </c>
      <c r="DW141" s="228">
        <f t="shared" si="156"/>
        <v>0</v>
      </c>
      <c r="DX141" s="228">
        <f t="shared" si="156"/>
        <v>0</v>
      </c>
      <c r="DY141" s="228">
        <f t="shared" si="156"/>
        <v>0</v>
      </c>
      <c r="DZ141" s="228">
        <f t="shared" si="156"/>
        <v>0</v>
      </c>
      <c r="EA141" s="228">
        <f t="shared" si="156"/>
        <v>0</v>
      </c>
      <c r="EB141" s="228">
        <f t="shared" ref="EB141:EQ141" si="157">IF(EB137=$C123,$C124*$C134,0)</f>
        <v>0</v>
      </c>
      <c r="EC141" s="228">
        <f t="shared" si="157"/>
        <v>0</v>
      </c>
      <c r="ED141" s="228">
        <f t="shared" si="157"/>
        <v>0</v>
      </c>
      <c r="EE141" s="228">
        <f t="shared" si="157"/>
        <v>0</v>
      </c>
      <c r="EF141" s="228">
        <f t="shared" si="157"/>
        <v>0</v>
      </c>
      <c r="EG141" s="228">
        <f t="shared" si="157"/>
        <v>0</v>
      </c>
      <c r="EH141" s="228">
        <f t="shared" si="157"/>
        <v>0</v>
      </c>
      <c r="EI141" s="228">
        <f t="shared" si="157"/>
        <v>0</v>
      </c>
      <c r="EJ141" s="228">
        <f t="shared" si="157"/>
        <v>0</v>
      </c>
      <c r="EK141" s="228">
        <f t="shared" si="157"/>
        <v>0</v>
      </c>
      <c r="EL141" s="228">
        <f t="shared" si="157"/>
        <v>0</v>
      </c>
      <c r="EM141" s="228">
        <f t="shared" si="157"/>
        <v>0</v>
      </c>
      <c r="EN141" s="228">
        <f t="shared" si="157"/>
        <v>0</v>
      </c>
      <c r="EO141" s="228">
        <f t="shared" si="157"/>
        <v>0</v>
      </c>
      <c r="EP141" s="228">
        <f t="shared" si="157"/>
        <v>0</v>
      </c>
      <c r="EQ141" s="229">
        <f t="shared" si="157"/>
        <v>0</v>
      </c>
    </row>
    <row r="142" spans="1:147" x14ac:dyDescent="0.25">
      <c r="A142" s="230" t="s">
        <v>356</v>
      </c>
      <c r="B142" s="231"/>
      <c r="C142" s="232"/>
      <c r="D142" s="232">
        <f t="shared" ref="D142:BO142" si="158">IF(D137=$C123,$C124,C142-D139)</f>
        <v>0</v>
      </c>
      <c r="E142" s="232">
        <f t="shared" si="158"/>
        <v>0</v>
      </c>
      <c r="F142" s="232">
        <f t="shared" si="158"/>
        <v>0</v>
      </c>
      <c r="G142" s="232">
        <f t="shared" si="158"/>
        <v>0</v>
      </c>
      <c r="H142" s="232">
        <f t="shared" si="158"/>
        <v>0</v>
      </c>
      <c r="I142" s="232">
        <f t="shared" si="158"/>
        <v>0</v>
      </c>
      <c r="J142" s="232">
        <f t="shared" si="158"/>
        <v>0</v>
      </c>
      <c r="K142" s="232">
        <f t="shared" si="158"/>
        <v>0</v>
      </c>
      <c r="L142" s="232">
        <f t="shared" si="158"/>
        <v>0</v>
      </c>
      <c r="M142" s="232">
        <f t="shared" si="158"/>
        <v>0</v>
      </c>
      <c r="N142" s="232">
        <f t="shared" si="158"/>
        <v>0</v>
      </c>
      <c r="O142" s="232">
        <f t="shared" si="158"/>
        <v>0</v>
      </c>
      <c r="P142" s="232">
        <f t="shared" si="158"/>
        <v>0</v>
      </c>
      <c r="Q142" s="232">
        <f t="shared" si="158"/>
        <v>0</v>
      </c>
      <c r="R142" s="232">
        <f t="shared" si="158"/>
        <v>0</v>
      </c>
      <c r="S142" s="232">
        <f t="shared" si="158"/>
        <v>0</v>
      </c>
      <c r="T142" s="232">
        <f t="shared" si="158"/>
        <v>0</v>
      </c>
      <c r="U142" s="232">
        <f t="shared" si="158"/>
        <v>0</v>
      </c>
      <c r="V142" s="232">
        <f t="shared" si="158"/>
        <v>0</v>
      </c>
      <c r="W142" s="232">
        <f t="shared" si="158"/>
        <v>0</v>
      </c>
      <c r="X142" s="232">
        <f t="shared" si="158"/>
        <v>0</v>
      </c>
      <c r="Y142" s="232">
        <f t="shared" si="158"/>
        <v>0</v>
      </c>
      <c r="Z142" s="232">
        <f t="shared" si="158"/>
        <v>0</v>
      </c>
      <c r="AA142" s="232">
        <f t="shared" si="158"/>
        <v>0</v>
      </c>
      <c r="AB142" s="232">
        <f t="shared" si="158"/>
        <v>0</v>
      </c>
      <c r="AC142" s="232">
        <f t="shared" si="158"/>
        <v>0</v>
      </c>
      <c r="AD142" s="232">
        <f t="shared" si="158"/>
        <v>0</v>
      </c>
      <c r="AE142" s="232">
        <f t="shared" si="158"/>
        <v>0</v>
      </c>
      <c r="AF142" s="232">
        <f t="shared" si="158"/>
        <v>0</v>
      </c>
      <c r="AG142" s="232">
        <f t="shared" si="158"/>
        <v>0</v>
      </c>
      <c r="AH142" s="232">
        <f t="shared" si="158"/>
        <v>0</v>
      </c>
      <c r="AI142" s="232">
        <f t="shared" si="158"/>
        <v>0</v>
      </c>
      <c r="AJ142" s="232">
        <f t="shared" si="158"/>
        <v>0</v>
      </c>
      <c r="AK142" s="232">
        <f t="shared" si="158"/>
        <v>0</v>
      </c>
      <c r="AL142" s="232">
        <f t="shared" si="158"/>
        <v>0</v>
      </c>
      <c r="AM142" s="232">
        <f t="shared" si="158"/>
        <v>0</v>
      </c>
      <c r="AN142" s="232">
        <f t="shared" si="158"/>
        <v>0</v>
      </c>
      <c r="AO142" s="232">
        <f t="shared" si="158"/>
        <v>0</v>
      </c>
      <c r="AP142" s="232">
        <f t="shared" si="158"/>
        <v>0</v>
      </c>
      <c r="AQ142" s="232">
        <f t="shared" si="158"/>
        <v>0</v>
      </c>
      <c r="AR142" s="232">
        <f t="shared" si="158"/>
        <v>0</v>
      </c>
      <c r="AS142" s="232">
        <f t="shared" si="158"/>
        <v>0</v>
      </c>
      <c r="AT142" s="232">
        <f t="shared" si="158"/>
        <v>0</v>
      </c>
      <c r="AU142" s="232">
        <f t="shared" si="158"/>
        <v>0</v>
      </c>
      <c r="AV142" s="232">
        <f t="shared" si="158"/>
        <v>0</v>
      </c>
      <c r="AW142" s="232">
        <f t="shared" si="158"/>
        <v>0</v>
      </c>
      <c r="AX142" s="232">
        <f t="shared" si="158"/>
        <v>0</v>
      </c>
      <c r="AY142" s="232">
        <f t="shared" si="158"/>
        <v>0</v>
      </c>
      <c r="AZ142" s="232">
        <f t="shared" si="158"/>
        <v>0</v>
      </c>
      <c r="BA142" s="232">
        <f t="shared" si="158"/>
        <v>0</v>
      </c>
      <c r="BB142" s="232">
        <f t="shared" si="158"/>
        <v>0</v>
      </c>
      <c r="BC142" s="232">
        <f t="shared" si="158"/>
        <v>0</v>
      </c>
      <c r="BD142" s="232">
        <f t="shared" si="158"/>
        <v>0</v>
      </c>
      <c r="BE142" s="232">
        <f t="shared" si="158"/>
        <v>0</v>
      </c>
      <c r="BF142" s="232">
        <f t="shared" si="158"/>
        <v>0</v>
      </c>
      <c r="BG142" s="232">
        <f t="shared" si="158"/>
        <v>0</v>
      </c>
      <c r="BH142" s="232">
        <f t="shared" si="158"/>
        <v>0</v>
      </c>
      <c r="BI142" s="232">
        <f t="shared" si="158"/>
        <v>0</v>
      </c>
      <c r="BJ142" s="232">
        <f t="shared" si="158"/>
        <v>0</v>
      </c>
      <c r="BK142" s="232">
        <f t="shared" si="158"/>
        <v>0</v>
      </c>
      <c r="BL142" s="232">
        <f t="shared" si="158"/>
        <v>0</v>
      </c>
      <c r="BM142" s="232">
        <f t="shared" si="158"/>
        <v>0</v>
      </c>
      <c r="BN142" s="232">
        <f t="shared" si="158"/>
        <v>0</v>
      </c>
      <c r="BO142" s="232">
        <f t="shared" si="158"/>
        <v>0</v>
      </c>
      <c r="BP142" s="232">
        <f t="shared" ref="BP142:EA142" si="159">IF(BP137=$C123,$C124,BO142-BP139)</f>
        <v>0</v>
      </c>
      <c r="BQ142" s="232">
        <f t="shared" si="159"/>
        <v>0</v>
      </c>
      <c r="BR142" s="232">
        <f t="shared" si="159"/>
        <v>0</v>
      </c>
      <c r="BS142" s="232">
        <f t="shared" si="159"/>
        <v>0</v>
      </c>
      <c r="BT142" s="232">
        <f t="shared" si="159"/>
        <v>0</v>
      </c>
      <c r="BU142" s="232">
        <f t="shared" si="159"/>
        <v>0</v>
      </c>
      <c r="BV142" s="232">
        <f t="shared" si="159"/>
        <v>0</v>
      </c>
      <c r="BW142" s="232">
        <f t="shared" si="159"/>
        <v>0</v>
      </c>
      <c r="BX142" s="232">
        <f t="shared" si="159"/>
        <v>0</v>
      </c>
      <c r="BY142" s="232">
        <f t="shared" si="159"/>
        <v>0</v>
      </c>
      <c r="BZ142" s="232">
        <f t="shared" si="159"/>
        <v>0</v>
      </c>
      <c r="CA142" s="232">
        <f t="shared" si="159"/>
        <v>0</v>
      </c>
      <c r="CB142" s="232">
        <f t="shared" si="159"/>
        <v>0</v>
      </c>
      <c r="CC142" s="232">
        <f t="shared" si="159"/>
        <v>0</v>
      </c>
      <c r="CD142" s="232">
        <f t="shared" si="159"/>
        <v>0</v>
      </c>
      <c r="CE142" s="232">
        <f t="shared" si="159"/>
        <v>0</v>
      </c>
      <c r="CF142" s="232">
        <f t="shared" si="159"/>
        <v>0</v>
      </c>
      <c r="CG142" s="232">
        <f t="shared" si="159"/>
        <v>0</v>
      </c>
      <c r="CH142" s="232">
        <f t="shared" si="159"/>
        <v>0</v>
      </c>
      <c r="CI142" s="232">
        <f t="shared" si="159"/>
        <v>0</v>
      </c>
      <c r="CJ142" s="232">
        <f t="shared" si="159"/>
        <v>0</v>
      </c>
      <c r="CK142" s="232">
        <f t="shared" si="159"/>
        <v>0</v>
      </c>
      <c r="CL142" s="232">
        <f t="shared" si="159"/>
        <v>0</v>
      </c>
      <c r="CM142" s="232">
        <f t="shared" si="159"/>
        <v>0</v>
      </c>
      <c r="CN142" s="232">
        <f t="shared" si="159"/>
        <v>0</v>
      </c>
      <c r="CO142" s="232">
        <f t="shared" si="159"/>
        <v>0</v>
      </c>
      <c r="CP142" s="232">
        <f t="shared" si="159"/>
        <v>0</v>
      </c>
      <c r="CQ142" s="232">
        <f t="shared" si="159"/>
        <v>0</v>
      </c>
      <c r="CR142" s="232">
        <f t="shared" si="159"/>
        <v>0</v>
      </c>
      <c r="CS142" s="232">
        <f t="shared" si="159"/>
        <v>0</v>
      </c>
      <c r="CT142" s="232">
        <f t="shared" si="159"/>
        <v>0</v>
      </c>
      <c r="CU142" s="232">
        <f t="shared" si="159"/>
        <v>0</v>
      </c>
      <c r="CV142" s="232">
        <f t="shared" si="159"/>
        <v>0</v>
      </c>
      <c r="CW142" s="232">
        <f t="shared" si="159"/>
        <v>0</v>
      </c>
      <c r="CX142" s="232">
        <f t="shared" si="159"/>
        <v>0</v>
      </c>
      <c r="CY142" s="232">
        <f t="shared" si="159"/>
        <v>0</v>
      </c>
      <c r="CZ142" s="232">
        <f t="shared" si="159"/>
        <v>0</v>
      </c>
      <c r="DA142" s="232">
        <f t="shared" si="159"/>
        <v>0</v>
      </c>
      <c r="DB142" s="232">
        <f t="shared" si="159"/>
        <v>0</v>
      </c>
      <c r="DC142" s="232">
        <f t="shared" si="159"/>
        <v>0</v>
      </c>
      <c r="DD142" s="232">
        <f t="shared" si="159"/>
        <v>0</v>
      </c>
      <c r="DE142" s="232">
        <f t="shared" si="159"/>
        <v>0</v>
      </c>
      <c r="DF142" s="232">
        <f t="shared" si="159"/>
        <v>0</v>
      </c>
      <c r="DG142" s="232">
        <f t="shared" si="159"/>
        <v>0</v>
      </c>
      <c r="DH142" s="232">
        <f t="shared" si="159"/>
        <v>0</v>
      </c>
      <c r="DI142" s="232">
        <f t="shared" si="159"/>
        <v>0</v>
      </c>
      <c r="DJ142" s="232">
        <f t="shared" si="159"/>
        <v>0</v>
      </c>
      <c r="DK142" s="232">
        <f t="shared" si="159"/>
        <v>0</v>
      </c>
      <c r="DL142" s="232">
        <f t="shared" si="159"/>
        <v>0</v>
      </c>
      <c r="DM142" s="232">
        <f t="shared" si="159"/>
        <v>0</v>
      </c>
      <c r="DN142" s="232">
        <f t="shared" si="159"/>
        <v>0</v>
      </c>
      <c r="DO142" s="232">
        <f t="shared" si="159"/>
        <v>0</v>
      </c>
      <c r="DP142" s="232">
        <f t="shared" si="159"/>
        <v>0</v>
      </c>
      <c r="DQ142" s="232">
        <f t="shared" si="159"/>
        <v>0</v>
      </c>
      <c r="DR142" s="232">
        <f t="shared" si="159"/>
        <v>0</v>
      </c>
      <c r="DS142" s="232">
        <f t="shared" si="159"/>
        <v>0</v>
      </c>
      <c r="DT142" s="232">
        <f t="shared" si="159"/>
        <v>0</v>
      </c>
      <c r="DU142" s="232">
        <f t="shared" si="159"/>
        <v>0</v>
      </c>
      <c r="DV142" s="232">
        <f t="shared" si="159"/>
        <v>0</v>
      </c>
      <c r="DW142" s="232">
        <f t="shared" si="159"/>
        <v>0</v>
      </c>
      <c r="DX142" s="232">
        <f t="shared" si="159"/>
        <v>0</v>
      </c>
      <c r="DY142" s="232">
        <f t="shared" si="159"/>
        <v>0</v>
      </c>
      <c r="DZ142" s="232">
        <f t="shared" si="159"/>
        <v>0</v>
      </c>
      <c r="EA142" s="232">
        <f t="shared" si="159"/>
        <v>0</v>
      </c>
      <c r="EB142" s="232">
        <f t="shared" ref="EB142:EQ142" si="160">IF(EB137=$C123,$C124,EA142-EB139)</f>
        <v>0</v>
      </c>
      <c r="EC142" s="232">
        <f t="shared" si="160"/>
        <v>0</v>
      </c>
      <c r="ED142" s="232">
        <f t="shared" si="160"/>
        <v>0</v>
      </c>
      <c r="EE142" s="232">
        <f t="shared" si="160"/>
        <v>0</v>
      </c>
      <c r="EF142" s="232">
        <f t="shared" si="160"/>
        <v>0</v>
      </c>
      <c r="EG142" s="232">
        <f t="shared" si="160"/>
        <v>0</v>
      </c>
      <c r="EH142" s="232">
        <f t="shared" si="160"/>
        <v>0</v>
      </c>
      <c r="EI142" s="232">
        <f t="shared" si="160"/>
        <v>0</v>
      </c>
      <c r="EJ142" s="232">
        <f t="shared" si="160"/>
        <v>0</v>
      </c>
      <c r="EK142" s="232">
        <f t="shared" si="160"/>
        <v>0</v>
      </c>
      <c r="EL142" s="232">
        <f t="shared" si="160"/>
        <v>0</v>
      </c>
      <c r="EM142" s="232">
        <f t="shared" si="160"/>
        <v>0</v>
      </c>
      <c r="EN142" s="232">
        <f t="shared" si="160"/>
        <v>0</v>
      </c>
      <c r="EO142" s="232">
        <f t="shared" si="160"/>
        <v>0</v>
      </c>
      <c r="EP142" s="232">
        <f t="shared" si="160"/>
        <v>0</v>
      </c>
      <c r="EQ142" s="233">
        <f t="shared" si="160"/>
        <v>0</v>
      </c>
    </row>
  </sheetData>
  <mergeCells count="14">
    <mergeCell ref="A5:B7"/>
    <mergeCell ref="C5:C7"/>
    <mergeCell ref="A15:B17"/>
    <mergeCell ref="C15:C17"/>
    <mergeCell ref="A40:A42"/>
    <mergeCell ref="C40:C42"/>
    <mergeCell ref="A136:A138"/>
    <mergeCell ref="C136:C138"/>
    <mergeCell ref="A64:A66"/>
    <mergeCell ref="C64:C66"/>
    <mergeCell ref="A88:A90"/>
    <mergeCell ref="C88:C90"/>
    <mergeCell ref="A112:A114"/>
    <mergeCell ref="C112:C1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D4:F26"/>
  <sheetViews>
    <sheetView topLeftCell="A16" workbookViewId="0">
      <selection activeCell="F27" sqref="F27"/>
    </sheetView>
  </sheetViews>
  <sheetFormatPr baseColWidth="10" defaultColWidth="11.42578125" defaultRowHeight="15" x14ac:dyDescent="0.25"/>
  <cols>
    <col min="4" max="4" width="27.42578125" customWidth="1"/>
    <col min="5" max="5" width="13.42578125" customWidth="1"/>
    <col min="6" max="6" width="12.5703125" bestFit="1" customWidth="1"/>
  </cols>
  <sheetData>
    <row r="4" spans="4:5" x14ac:dyDescent="0.25">
      <c r="E4" s="16"/>
    </row>
    <row r="5" spans="4:5" ht="15.75" x14ac:dyDescent="0.25">
      <c r="D5" s="346" t="s">
        <v>282</v>
      </c>
      <c r="E5" s="336"/>
    </row>
    <row r="6" spans="4:5" x14ac:dyDescent="0.25">
      <c r="D6" s="390" t="s">
        <v>281</v>
      </c>
      <c r="E6" s="336"/>
    </row>
    <row r="7" spans="4:5" x14ac:dyDescent="0.25">
      <c r="D7" s="391"/>
      <c r="E7" s="332"/>
    </row>
    <row r="8" spans="4:5" x14ac:dyDescent="0.25">
      <c r="D8" s="337" t="s">
        <v>111</v>
      </c>
      <c r="E8" s="333"/>
    </row>
    <row r="9" spans="4:5" x14ac:dyDescent="0.25">
      <c r="D9" s="338" t="s">
        <v>119</v>
      </c>
      <c r="E9" s="333"/>
    </row>
    <row r="10" spans="4:5" x14ac:dyDescent="0.25">
      <c r="D10" s="337" t="s">
        <v>124</v>
      </c>
      <c r="E10" s="333"/>
    </row>
    <row r="11" spans="4:5" x14ac:dyDescent="0.25">
      <c r="D11" s="193" t="s">
        <v>404</v>
      </c>
      <c r="E11" s="334"/>
    </row>
    <row r="12" spans="4:5" x14ac:dyDescent="0.25">
      <c r="D12" s="259" t="s">
        <v>280</v>
      </c>
      <c r="E12" s="333"/>
    </row>
    <row r="13" spans="4:5" s="72" customFormat="1" x14ac:dyDescent="0.25">
      <c r="D13" s="259" t="s">
        <v>403</v>
      </c>
      <c r="E13" s="333"/>
    </row>
    <row r="14" spans="4:5" x14ac:dyDescent="0.25">
      <c r="D14" s="101" t="s">
        <v>279</v>
      </c>
      <c r="E14" s="333"/>
    </row>
    <row r="15" spans="4:5" x14ac:dyDescent="0.25">
      <c r="D15" s="205" t="s">
        <v>45</v>
      </c>
      <c r="E15" s="335"/>
    </row>
    <row r="22" spans="4:6" ht="15.75" x14ac:dyDescent="0.25">
      <c r="D22" s="389" t="s">
        <v>411</v>
      </c>
      <c r="E22" s="389"/>
    </row>
    <row r="23" spans="4:6" x14ac:dyDescent="0.25">
      <c r="D23" s="339"/>
      <c r="E23" s="339" t="s">
        <v>173</v>
      </c>
    </row>
    <row r="24" spans="4:6" x14ac:dyDescent="0.25">
      <c r="D24" s="358" t="s">
        <v>415</v>
      </c>
      <c r="E24" s="115">
        <f>+'FLUJO CAJA '!C15</f>
        <v>0.19186685183334817</v>
      </c>
      <c r="F24" s="8"/>
    </row>
    <row r="25" spans="4:6" x14ac:dyDescent="0.25">
      <c r="D25" s="359" t="s">
        <v>416</v>
      </c>
      <c r="E25" s="360">
        <f>+'FLUJO ALIADO Y EP'!C38</f>
        <v>0.16126459006107696</v>
      </c>
      <c r="F25" s="8"/>
    </row>
    <row r="26" spans="4:6" x14ac:dyDescent="0.25">
      <c r="D26" s="359" t="s">
        <v>417</v>
      </c>
      <c r="E26" s="360">
        <f>+'FLUJO ALIADO Y EP'!C104</f>
        <v>0.20092480334126206</v>
      </c>
    </row>
  </sheetData>
  <mergeCells count="2">
    <mergeCell ref="D22:E22"/>
    <mergeCell ref="D6:D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/>
  <dimension ref="C5:O31"/>
  <sheetViews>
    <sheetView zoomScaleNormal="100" workbookViewId="0">
      <selection activeCell="E3" sqref="E3"/>
    </sheetView>
  </sheetViews>
  <sheetFormatPr baseColWidth="10" defaultColWidth="11.42578125" defaultRowHeight="15" x14ac:dyDescent="0.25"/>
  <cols>
    <col min="3" max="3" width="43.42578125" customWidth="1"/>
    <col min="4" max="4" width="15.85546875" bestFit="1" customWidth="1"/>
  </cols>
  <sheetData>
    <row r="5" spans="3:15" x14ac:dyDescent="0.25">
      <c r="C5" s="392" t="s">
        <v>182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4"/>
    </row>
    <row r="6" spans="3:15" x14ac:dyDescent="0.25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3:15" x14ac:dyDescent="0.25">
      <c r="C7" s="53" t="s">
        <v>174</v>
      </c>
      <c r="D7" s="46">
        <v>0.02</v>
      </c>
      <c r="E7" s="46"/>
      <c r="F7" s="53" t="s">
        <v>175</v>
      </c>
      <c r="G7" s="53"/>
      <c r="H7" s="53"/>
      <c r="I7" s="53"/>
      <c r="J7" s="53"/>
      <c r="K7" s="53"/>
      <c r="L7" s="53"/>
      <c r="M7" s="53"/>
      <c r="N7" s="53"/>
    </row>
    <row r="8" spans="3:15" x14ac:dyDescent="0.25">
      <c r="C8" s="53" t="s">
        <v>176</v>
      </c>
      <c r="D8" s="45">
        <v>0.1</v>
      </c>
      <c r="E8" s="53"/>
      <c r="F8" s="71" t="s">
        <v>177</v>
      </c>
      <c r="G8" s="53"/>
      <c r="H8" s="53"/>
      <c r="I8" s="53"/>
      <c r="J8" s="53"/>
      <c r="K8" s="53"/>
      <c r="L8" s="53"/>
      <c r="M8" s="53"/>
      <c r="N8" s="53"/>
    </row>
    <row r="9" spans="3:15" x14ac:dyDescent="0.25">
      <c r="C9" s="53" t="s">
        <v>178</v>
      </c>
      <c r="D9" s="53">
        <v>0.32</v>
      </c>
      <c r="E9" s="53"/>
      <c r="F9" s="53" t="s">
        <v>217</v>
      </c>
      <c r="G9" s="53"/>
      <c r="H9" s="53"/>
      <c r="I9" s="53"/>
      <c r="J9" s="53"/>
      <c r="K9" s="53"/>
      <c r="L9" s="53"/>
      <c r="M9" s="53"/>
      <c r="N9" s="53"/>
    </row>
    <row r="10" spans="3:15" x14ac:dyDescent="0.25">
      <c r="C10" s="53" t="s">
        <v>179</v>
      </c>
      <c r="D10" s="46">
        <v>7.5499999999999998E-2</v>
      </c>
      <c r="E10" s="53"/>
      <c r="F10" s="53" t="s">
        <v>181</v>
      </c>
      <c r="G10" s="53"/>
      <c r="H10" s="53"/>
      <c r="I10" s="71" t="s">
        <v>213</v>
      </c>
      <c r="J10" s="53"/>
      <c r="K10" s="53"/>
      <c r="L10" s="53"/>
      <c r="M10" s="53"/>
      <c r="N10" s="53"/>
    </row>
    <row r="11" spans="3:15" x14ac:dyDescent="0.25"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3:15" x14ac:dyDescent="0.25"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3:15" x14ac:dyDescent="0.25"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3:15" x14ac:dyDescent="0.25">
      <c r="C14" s="105" t="s">
        <v>180</v>
      </c>
      <c r="D14" s="106">
        <f>D7+D9*(D8-D7)+D10</f>
        <v>0.1211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3:15" ht="15.75" thickBot="1" x14ac:dyDescent="0.3"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3:15" ht="15.75" thickBot="1" x14ac:dyDescent="0.3">
      <c r="M16" s="103">
        <v>43816</v>
      </c>
      <c r="N16" s="104">
        <v>1.89E-2</v>
      </c>
      <c r="O16" s="81">
        <v>0</v>
      </c>
    </row>
    <row r="17" spans="3:15" ht="15.75" thickBot="1" x14ac:dyDescent="0.3">
      <c r="M17" s="78">
        <v>43815</v>
      </c>
      <c r="N17" s="77">
        <v>1.89E-2</v>
      </c>
      <c r="O17" s="79">
        <v>7.0000000000000007E-2</v>
      </c>
    </row>
    <row r="18" spans="3:15" ht="15.75" thickBot="1" x14ac:dyDescent="0.3">
      <c r="M18" s="80">
        <v>43812</v>
      </c>
      <c r="N18" s="76">
        <v>1.8200000000000001E-2</v>
      </c>
      <c r="O18" s="82">
        <v>-0.08</v>
      </c>
    </row>
    <row r="19" spans="3:15" ht="15.75" thickBot="1" x14ac:dyDescent="0.3">
      <c r="M19" s="78">
        <v>43811</v>
      </c>
      <c r="N19" s="77">
        <v>1.9E-2</v>
      </c>
      <c r="O19" s="79">
        <v>0.11</v>
      </c>
    </row>
    <row r="20" spans="3:15" ht="15.75" thickBot="1" x14ac:dyDescent="0.3">
      <c r="C20" s="53"/>
      <c r="D20" s="53"/>
      <c r="E20" s="53"/>
      <c r="M20" s="80">
        <v>43810</v>
      </c>
      <c r="N20" s="76">
        <v>1.7899999999999999E-2</v>
      </c>
      <c r="O20" s="82">
        <v>-0.04</v>
      </c>
    </row>
    <row r="21" spans="3:15" ht="15.75" thickBot="1" x14ac:dyDescent="0.3">
      <c r="C21" s="182" t="s">
        <v>281</v>
      </c>
      <c r="D21" s="154" t="s">
        <v>333</v>
      </c>
      <c r="E21" s="53"/>
      <c r="M21" s="78">
        <v>43809</v>
      </c>
      <c r="N21" s="77">
        <v>1.83E-2</v>
      </c>
      <c r="O21" s="79">
        <v>0</v>
      </c>
    </row>
    <row r="22" spans="3:15" ht="15.75" thickBot="1" x14ac:dyDescent="0.3">
      <c r="C22" s="53" t="s">
        <v>328</v>
      </c>
      <c r="D22" s="47">
        <v>0.65</v>
      </c>
      <c r="E22" s="53"/>
      <c r="M22" s="80">
        <v>43808</v>
      </c>
      <c r="N22" s="76">
        <v>1.83E-2</v>
      </c>
      <c r="O22" s="82">
        <v>-0.01</v>
      </c>
    </row>
    <row r="23" spans="3:15" ht="15.75" thickBot="1" x14ac:dyDescent="0.3">
      <c r="C23" s="53" t="s">
        <v>329</v>
      </c>
      <c r="D23" s="47">
        <f>1-D22</f>
        <v>0.35</v>
      </c>
      <c r="E23" s="53"/>
      <c r="M23" s="78">
        <v>43805</v>
      </c>
      <c r="N23" s="77">
        <v>1.84E-2</v>
      </c>
      <c r="O23" s="79">
        <v>0.05</v>
      </c>
    </row>
    <row r="24" spans="3:15" ht="15.75" thickBot="1" x14ac:dyDescent="0.3">
      <c r="C24" s="53"/>
      <c r="D24" s="53"/>
      <c r="E24" s="53"/>
      <c r="M24" s="80">
        <v>43804</v>
      </c>
      <c r="N24" s="76">
        <v>1.7999999999999999E-2</v>
      </c>
      <c r="O24" s="83">
        <v>0.02</v>
      </c>
    </row>
    <row r="25" spans="3:15" ht="15.75" thickBot="1" x14ac:dyDescent="0.3">
      <c r="C25" s="53" t="s">
        <v>302</v>
      </c>
      <c r="D25" s="45">
        <v>0.09</v>
      </c>
      <c r="E25" s="53"/>
      <c r="M25" s="78">
        <v>43803</v>
      </c>
      <c r="N25" s="77">
        <v>1.78E-2</v>
      </c>
      <c r="O25" s="79">
        <v>7.0000000000000007E-2</v>
      </c>
    </row>
    <row r="26" spans="3:15" ht="15.75" thickBot="1" x14ac:dyDescent="0.3">
      <c r="C26" s="53" t="s">
        <v>303</v>
      </c>
      <c r="D26" s="46">
        <f>D14</f>
        <v>0.1211</v>
      </c>
      <c r="E26" s="53"/>
      <c r="M26" s="80">
        <v>43802</v>
      </c>
      <c r="N26" s="76">
        <v>1.7100000000000001E-2</v>
      </c>
      <c r="O26" s="82">
        <v>-0.13</v>
      </c>
    </row>
    <row r="27" spans="3:15" ht="15.75" thickBot="1" x14ac:dyDescent="0.3">
      <c r="C27" s="53"/>
      <c r="D27" s="53"/>
      <c r="E27" s="53"/>
      <c r="M27" s="78">
        <v>43801</v>
      </c>
      <c r="N27" s="77">
        <v>1.84E-2</v>
      </c>
      <c r="O27" s="79">
        <v>0.06</v>
      </c>
    </row>
    <row r="28" spans="3:15" ht="15.75" thickBot="1" x14ac:dyDescent="0.3">
      <c r="C28" s="53" t="s">
        <v>330</v>
      </c>
      <c r="D28" s="88">
        <f>D23*D26</f>
        <v>4.2384999999999999E-2</v>
      </c>
      <c r="E28" s="53"/>
      <c r="M28" s="80">
        <v>43798</v>
      </c>
      <c r="N28" s="76">
        <v>1.77E-2</v>
      </c>
      <c r="O28" s="83">
        <v>0.01</v>
      </c>
    </row>
    <row r="29" spans="3:15" ht="15.75" thickBot="1" x14ac:dyDescent="0.3">
      <c r="C29" s="53" t="s">
        <v>331</v>
      </c>
      <c r="D29" s="88">
        <f>D25*D22*(1-0.3625)</f>
        <v>3.7293749999999994E-2</v>
      </c>
      <c r="E29" s="53"/>
      <c r="M29" s="84">
        <v>43796</v>
      </c>
      <c r="N29" s="85">
        <v>1.77E-2</v>
      </c>
      <c r="O29" s="86"/>
    </row>
    <row r="30" spans="3:15" x14ac:dyDescent="0.25">
      <c r="C30" s="53"/>
      <c r="D30" s="88"/>
      <c r="E30" s="53"/>
    </row>
    <row r="31" spans="3:15" x14ac:dyDescent="0.25">
      <c r="C31" s="53" t="s">
        <v>332</v>
      </c>
      <c r="D31" s="88">
        <f>D29+D28</f>
        <v>7.9678749999999993E-2</v>
      </c>
      <c r="E31" s="53"/>
      <c r="M31" t="s">
        <v>218</v>
      </c>
      <c r="N31" s="9">
        <f>AVERAGE(N16:N29)</f>
        <v>1.8185714285714284E-2</v>
      </c>
    </row>
  </sheetData>
  <mergeCells count="1">
    <mergeCell ref="C5:N5"/>
  </mergeCells>
  <hyperlinks>
    <hyperlink ref="I10" r:id="rId1" xr:uid="{00000000-0004-0000-0D00-000000000000}"/>
    <hyperlink ref="F8" r:id="rId2" xr:uid="{00000000-0004-0000-0D00-000001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V37"/>
  <sheetViews>
    <sheetView topLeftCell="G1" zoomScale="98" zoomScaleNormal="98" workbookViewId="0">
      <selection activeCell="R11" sqref="R11"/>
    </sheetView>
  </sheetViews>
  <sheetFormatPr baseColWidth="10" defaultColWidth="11.42578125" defaultRowHeight="15" x14ac:dyDescent="0.25"/>
  <cols>
    <col min="2" max="2" width="60.7109375" customWidth="1"/>
    <col min="3" max="3" width="16.42578125" customWidth="1"/>
    <col min="4" max="4" width="18.85546875" customWidth="1"/>
    <col min="5" max="5" width="22.5703125" bestFit="1" customWidth="1"/>
    <col min="6" max="6" width="17.7109375" customWidth="1"/>
    <col min="7" max="7" width="33.5703125" customWidth="1"/>
    <col min="8" max="8" width="13.28515625" customWidth="1"/>
    <col min="9" max="9" width="11.5703125" bestFit="1" customWidth="1"/>
    <col min="10" max="19" width="12.85546875" bestFit="1" customWidth="1"/>
    <col min="20" max="20" width="13.85546875" bestFit="1" customWidth="1"/>
  </cols>
  <sheetData>
    <row r="2" spans="1:21" ht="18.75" x14ac:dyDescent="0.3">
      <c r="A2" s="362" t="s">
        <v>96</v>
      </c>
      <c r="B2" s="362"/>
      <c r="C2" s="362"/>
      <c r="D2" s="362"/>
      <c r="E2" s="362"/>
    </row>
    <row r="3" spans="1:21" ht="15.75" x14ac:dyDescent="0.25">
      <c r="G3" s="118" t="s">
        <v>89</v>
      </c>
      <c r="H3" s="118"/>
      <c r="I3" s="11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1" ht="30" x14ac:dyDescent="0.25">
      <c r="A4" s="26" t="s">
        <v>88</v>
      </c>
      <c r="B4" s="26" t="s">
        <v>69</v>
      </c>
      <c r="C4" s="26" t="s">
        <v>86</v>
      </c>
      <c r="D4" s="26" t="s">
        <v>85</v>
      </c>
      <c r="E4" s="26" t="s">
        <v>87</v>
      </c>
      <c r="G4" s="195" t="s">
        <v>226</v>
      </c>
      <c r="H4" s="195"/>
      <c r="I4" s="195">
        <v>2020</v>
      </c>
      <c r="J4" s="195">
        <v>2021</v>
      </c>
      <c r="K4" s="195">
        <v>2022</v>
      </c>
      <c r="L4" s="195">
        <v>2023</v>
      </c>
      <c r="M4" s="195">
        <v>2024</v>
      </c>
      <c r="N4" s="195">
        <v>2025</v>
      </c>
      <c r="O4" s="195">
        <v>2026</v>
      </c>
      <c r="P4" s="195">
        <v>2027</v>
      </c>
      <c r="Q4" s="195">
        <v>2028</v>
      </c>
      <c r="R4" s="195">
        <v>2029</v>
      </c>
      <c r="S4" s="195">
        <v>2030</v>
      </c>
      <c r="T4" s="195" t="s">
        <v>9</v>
      </c>
    </row>
    <row r="5" spans="1:21" ht="23.25" x14ac:dyDescent="0.25">
      <c r="A5" s="18">
        <v>1</v>
      </c>
      <c r="B5" s="3" t="s">
        <v>43</v>
      </c>
      <c r="C5" s="2">
        <v>5596027.4900000002</v>
      </c>
      <c r="D5" s="2">
        <v>4618106.3499999996</v>
      </c>
      <c r="E5" s="50">
        <f>D5/C5</f>
        <v>0.82524725946262278</v>
      </c>
      <c r="F5" s="13"/>
      <c r="G5" s="100" t="s">
        <v>234</v>
      </c>
      <c r="H5" s="97"/>
      <c r="I5" s="96"/>
      <c r="J5" s="203">
        <v>0.02</v>
      </c>
      <c r="K5" s="203">
        <v>0.03</v>
      </c>
      <c r="L5" s="203">
        <v>0.03</v>
      </c>
      <c r="M5" s="203">
        <v>0.02</v>
      </c>
      <c r="N5" s="203">
        <v>0.02</v>
      </c>
      <c r="O5" s="203"/>
      <c r="P5" s="203"/>
      <c r="Q5" s="168"/>
      <c r="R5" s="168"/>
      <c r="S5" s="168"/>
      <c r="T5" s="195"/>
    </row>
    <row r="6" spans="1:21" ht="23.25" x14ac:dyDescent="0.25">
      <c r="A6" s="18">
        <v>2</v>
      </c>
      <c r="B6" s="3" t="s">
        <v>44</v>
      </c>
      <c r="C6" s="2">
        <v>3617517.2</v>
      </c>
      <c r="D6" s="2">
        <v>3040071.5</v>
      </c>
      <c r="E6" s="50">
        <f>D6/C6</f>
        <v>0.84037513353080939</v>
      </c>
      <c r="F6" s="7"/>
      <c r="G6" s="100" t="s">
        <v>235</v>
      </c>
      <c r="H6" s="97"/>
      <c r="I6" s="96"/>
      <c r="J6" s="203">
        <f>J5</f>
        <v>0.02</v>
      </c>
      <c r="K6" s="203">
        <f t="shared" ref="K6:S6" si="0">J6+K5</f>
        <v>0.05</v>
      </c>
      <c r="L6" s="203">
        <f t="shared" si="0"/>
        <v>0.08</v>
      </c>
      <c r="M6" s="203">
        <f t="shared" si="0"/>
        <v>0.1</v>
      </c>
      <c r="N6" s="203">
        <f t="shared" si="0"/>
        <v>0.12000000000000001</v>
      </c>
      <c r="O6" s="203">
        <f t="shared" si="0"/>
        <v>0.12000000000000001</v>
      </c>
      <c r="P6" s="203">
        <f t="shared" si="0"/>
        <v>0.12000000000000001</v>
      </c>
      <c r="Q6" s="203">
        <f t="shared" si="0"/>
        <v>0.12000000000000001</v>
      </c>
      <c r="R6" s="203">
        <f t="shared" si="0"/>
        <v>0.12000000000000001</v>
      </c>
      <c r="S6" s="203">
        <f t="shared" si="0"/>
        <v>0.12000000000000001</v>
      </c>
      <c r="T6" s="195"/>
    </row>
    <row r="7" spans="1:21" x14ac:dyDescent="0.25">
      <c r="B7" s="3" t="s">
        <v>227</v>
      </c>
      <c r="C7" s="51">
        <f>SUM(C5:C6)</f>
        <v>9213544.6900000013</v>
      </c>
      <c r="D7" s="51">
        <f>SUM(D5:D6)</f>
        <v>7658177.8499999996</v>
      </c>
      <c r="E7" s="52">
        <f>D7/C7</f>
        <v>0.83118692182736875</v>
      </c>
      <c r="G7" s="100" t="s">
        <v>228</v>
      </c>
      <c r="H7" s="97"/>
      <c r="I7" s="109">
        <f>E7</f>
        <v>0.83118692182736875</v>
      </c>
      <c r="J7" s="115">
        <f t="shared" ref="J7:S7" si="1">$I$7+J6</f>
        <v>0.85118692182736877</v>
      </c>
      <c r="K7" s="115">
        <f t="shared" si="1"/>
        <v>0.8811869218273688</v>
      </c>
      <c r="L7" s="115">
        <f t="shared" si="1"/>
        <v>0.91118692182736871</v>
      </c>
      <c r="M7" s="115">
        <f t="shared" si="1"/>
        <v>0.93118692182736873</v>
      </c>
      <c r="N7" s="115">
        <f t="shared" si="1"/>
        <v>0.95118692182736875</v>
      </c>
      <c r="O7" s="115">
        <f t="shared" si="1"/>
        <v>0.95118692182736875</v>
      </c>
      <c r="P7" s="115">
        <f t="shared" si="1"/>
        <v>0.95118692182736875</v>
      </c>
      <c r="Q7" s="115">
        <f t="shared" si="1"/>
        <v>0.95118692182736875</v>
      </c>
      <c r="R7" s="115">
        <f t="shared" si="1"/>
        <v>0.95118692182736875</v>
      </c>
      <c r="S7" s="115">
        <f t="shared" si="1"/>
        <v>0.95118692182736875</v>
      </c>
      <c r="T7" s="195"/>
    </row>
    <row r="8" spans="1:21" ht="23.25" x14ac:dyDescent="0.25">
      <c r="G8" s="100" t="s">
        <v>266</v>
      </c>
      <c r="H8" s="98">
        <f>C7</f>
        <v>9213544.6900000013</v>
      </c>
      <c r="I8" s="96"/>
      <c r="J8" s="113">
        <f t="shared" ref="J8:S8" si="2">$H$8*(J7-$E$7)</f>
        <v>184270.89380000019</v>
      </c>
      <c r="K8" s="113">
        <f t="shared" si="2"/>
        <v>460677.23450000049</v>
      </c>
      <c r="L8" s="113">
        <f t="shared" si="2"/>
        <v>737083.57519999973</v>
      </c>
      <c r="M8" s="113">
        <f t="shared" si="2"/>
        <v>921354.46899999992</v>
      </c>
      <c r="N8" s="113">
        <f t="shared" si="2"/>
        <v>1105625.3628000002</v>
      </c>
      <c r="O8" s="113">
        <f t="shared" si="2"/>
        <v>1105625.3628000002</v>
      </c>
      <c r="P8" s="113">
        <f t="shared" si="2"/>
        <v>1105625.3628000002</v>
      </c>
      <c r="Q8" s="113">
        <f t="shared" si="2"/>
        <v>1105625.3628000002</v>
      </c>
      <c r="R8" s="113">
        <f t="shared" si="2"/>
        <v>1105625.3628000002</v>
      </c>
      <c r="S8" s="113">
        <f t="shared" si="2"/>
        <v>1105625.3628000002</v>
      </c>
      <c r="T8" s="201">
        <f>SUM(J8:S8)</f>
        <v>8937138.3493000008</v>
      </c>
    </row>
    <row r="9" spans="1:21" ht="23.25" x14ac:dyDescent="0.25">
      <c r="G9" s="210" t="s">
        <v>90</v>
      </c>
      <c r="H9" s="98"/>
      <c r="I9" s="111"/>
      <c r="J9" s="113">
        <v>925434</v>
      </c>
      <c r="K9" s="113">
        <f>'Incremento facturación cero'!B38</f>
        <v>1046356.6367761029</v>
      </c>
      <c r="L9" s="113">
        <f>'Incremento facturación cero'!B38</f>
        <v>1046356.6367761029</v>
      </c>
      <c r="M9" s="113">
        <f t="shared" ref="M9:S9" si="3">L9</f>
        <v>1046356.6367761029</v>
      </c>
      <c r="N9" s="113">
        <f t="shared" si="3"/>
        <v>1046356.6367761029</v>
      </c>
      <c r="O9" s="113">
        <f t="shared" si="3"/>
        <v>1046356.6367761029</v>
      </c>
      <c r="P9" s="113">
        <f t="shared" si="3"/>
        <v>1046356.6367761029</v>
      </c>
      <c r="Q9" s="113">
        <f t="shared" si="3"/>
        <v>1046356.6367761029</v>
      </c>
      <c r="R9" s="113">
        <f t="shared" si="3"/>
        <v>1046356.6367761029</v>
      </c>
      <c r="S9" s="113">
        <f t="shared" si="3"/>
        <v>1046356.6367761029</v>
      </c>
      <c r="T9" s="202">
        <f>SUM(J9:S9)</f>
        <v>10342643.730984926</v>
      </c>
    </row>
    <row r="10" spans="1:21" ht="23.25" x14ac:dyDescent="0.25">
      <c r="B10" s="59" t="s">
        <v>92</v>
      </c>
      <c r="C10" s="27" t="s">
        <v>93</v>
      </c>
      <c r="G10" s="210" t="s">
        <v>267</v>
      </c>
      <c r="H10" s="97"/>
      <c r="I10" s="111"/>
      <c r="J10" s="113">
        <v>595234</v>
      </c>
      <c r="K10" s="113">
        <f>'Ingreso por Cobertura'!E55</f>
        <v>952633.26403762796</v>
      </c>
      <c r="L10" s="113">
        <f>'Ingreso por Cobertura'!F55</f>
        <v>1107354.9586009507</v>
      </c>
      <c r="M10" s="113">
        <f>'Ingreso por Cobertura'!G55</f>
        <v>1259189.1565316764</v>
      </c>
      <c r="N10" s="113">
        <f>'Ingreso por Cobertura'!H55</f>
        <v>1408135.8578298052</v>
      </c>
      <c r="O10" s="113">
        <f>'Ingreso por Cobertura'!I55</f>
        <v>1553954.4377759539</v>
      </c>
      <c r="P10" s="113">
        <f>'Ingreso por Cobertura'!J55</f>
        <v>1697607.395247655</v>
      </c>
      <c r="Q10" s="113">
        <f>'Ingreso por Cobertura'!K55</f>
        <v>1837891.6066479925</v>
      </c>
      <c r="R10" s="113">
        <f>'Ingreso por Cobertura'!L55</f>
        <v>1975769.5708544992</v>
      </c>
      <c r="S10" s="113">
        <f>'Ingreso por Cobertura'!M55</f>
        <v>2240697.3868952743</v>
      </c>
      <c r="T10" s="202">
        <f t="shared" ref="T10" si="4">SUM(J10:S10)</f>
        <v>14628467.634421436</v>
      </c>
    </row>
    <row r="11" spans="1:21" ht="23.25" x14ac:dyDescent="0.25">
      <c r="B11" s="53"/>
      <c r="C11" s="53"/>
      <c r="G11" s="210" t="s">
        <v>91</v>
      </c>
      <c r="H11" s="99">
        <f>'Ing. Cambio metod ARCA'!F9</f>
        <v>1085039.60958602</v>
      </c>
      <c r="I11" s="168"/>
      <c r="J11" s="114">
        <v>660177.21031353716</v>
      </c>
      <c r="K11" s="114">
        <f>H11</f>
        <v>1085039.60958602</v>
      </c>
      <c r="L11" s="114">
        <f t="shared" ref="L11:S11" si="5">K11</f>
        <v>1085039.60958602</v>
      </c>
      <c r="M11" s="114">
        <f t="shared" si="5"/>
        <v>1085039.60958602</v>
      </c>
      <c r="N11" s="114">
        <f t="shared" si="5"/>
        <v>1085039.60958602</v>
      </c>
      <c r="O11" s="114">
        <f t="shared" si="5"/>
        <v>1085039.60958602</v>
      </c>
      <c r="P11" s="114">
        <f t="shared" si="5"/>
        <v>1085039.60958602</v>
      </c>
      <c r="Q11" s="114">
        <f t="shared" si="5"/>
        <v>1085039.60958602</v>
      </c>
      <c r="R11" s="114">
        <f t="shared" si="5"/>
        <v>1085039.60958602</v>
      </c>
      <c r="S11" s="114">
        <f t="shared" si="5"/>
        <v>1085039.60958602</v>
      </c>
      <c r="T11" s="202">
        <f>SUM(J11:S11)</f>
        <v>10425533.696587715</v>
      </c>
    </row>
    <row r="12" spans="1:21" ht="23.25" x14ac:dyDescent="0.25">
      <c r="A12" s="18">
        <v>1</v>
      </c>
      <c r="B12" s="53" t="s">
        <v>231</v>
      </c>
      <c r="C12" s="57">
        <v>200000</v>
      </c>
      <c r="G12" s="100" t="s">
        <v>268</v>
      </c>
      <c r="H12" s="97"/>
      <c r="I12" s="97"/>
      <c r="J12" s="170">
        <f>SUM(J9:J11)</f>
        <v>2180845.2103135372</v>
      </c>
      <c r="K12" s="170">
        <f t="shared" ref="K12:T12" si="6">SUM(K9:K11)</f>
        <v>3084029.5103997509</v>
      </c>
      <c r="L12" s="170">
        <f t="shared" si="6"/>
        <v>3238751.2049630736</v>
      </c>
      <c r="M12" s="170">
        <f t="shared" si="6"/>
        <v>3390585.4028937994</v>
      </c>
      <c r="N12" s="170">
        <f t="shared" si="6"/>
        <v>3539532.1041919282</v>
      </c>
      <c r="O12" s="170">
        <f t="shared" si="6"/>
        <v>3685350.6841380768</v>
      </c>
      <c r="P12" s="170">
        <f t="shared" si="6"/>
        <v>3829003.6416097777</v>
      </c>
      <c r="Q12" s="170">
        <f t="shared" si="6"/>
        <v>3969287.8530101152</v>
      </c>
      <c r="R12" s="170">
        <f t="shared" si="6"/>
        <v>4107165.8172166222</v>
      </c>
      <c r="S12" s="170">
        <f t="shared" si="6"/>
        <v>4372093.6332573975</v>
      </c>
      <c r="T12" s="200">
        <f t="shared" si="6"/>
        <v>35396645.061994076</v>
      </c>
    </row>
    <row r="13" spans="1:21" x14ac:dyDescent="0.25">
      <c r="A13" s="18">
        <v>2</v>
      </c>
      <c r="B13" s="53" t="s">
        <v>232</v>
      </c>
      <c r="C13" s="57">
        <v>160000</v>
      </c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1:21" x14ac:dyDescent="0.25">
      <c r="A14" s="18">
        <v>3</v>
      </c>
      <c r="B14" s="53" t="s">
        <v>233</v>
      </c>
      <c r="C14" s="57">
        <v>500000</v>
      </c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17"/>
    </row>
    <row r="15" spans="1:21" x14ac:dyDescent="0.25">
      <c r="B15" s="53"/>
      <c r="C15" s="90">
        <f>+C14+C13+C12</f>
        <v>860000</v>
      </c>
      <c r="G15" s="101" t="s">
        <v>269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1" x14ac:dyDescent="0.25">
      <c r="B16" s="42" t="s">
        <v>225</v>
      </c>
      <c r="C16" s="90">
        <f>SUM(C12:C15)</f>
        <v>1720000</v>
      </c>
      <c r="G16" s="97"/>
      <c r="H16" s="97"/>
      <c r="I16" s="195">
        <v>2020</v>
      </c>
      <c r="J16" s="195">
        <v>2021</v>
      </c>
      <c r="K16" s="195">
        <v>2022</v>
      </c>
      <c r="L16" s="195">
        <v>2023</v>
      </c>
      <c r="M16" s="195">
        <v>2024</v>
      </c>
      <c r="N16" s="195">
        <v>2025</v>
      </c>
      <c r="O16" s="195">
        <v>2026</v>
      </c>
      <c r="P16" s="195">
        <v>2027</v>
      </c>
      <c r="Q16" s="195">
        <v>2028</v>
      </c>
      <c r="R16" s="195">
        <v>2029</v>
      </c>
      <c r="S16" s="195">
        <v>2030</v>
      </c>
      <c r="T16" s="201" t="s">
        <v>9</v>
      </c>
    </row>
    <row r="17" spans="1:22" ht="33.75" customHeight="1" x14ac:dyDescent="0.25">
      <c r="G17" s="100" t="s">
        <v>270</v>
      </c>
      <c r="H17" s="97"/>
      <c r="I17" s="110"/>
      <c r="J17" s="112">
        <f>J12*J7</f>
        <v>1856306.9215487405</v>
      </c>
      <c r="K17" s="112">
        <f t="shared" ref="K17:S17" si="7">K12*K7</f>
        <v>2717606.4710939238</v>
      </c>
      <c r="L17" s="112">
        <f t="shared" si="7"/>
        <v>2951107.7410149844</v>
      </c>
      <c r="M17" s="112">
        <f t="shared" si="7"/>
        <v>3157268.7845134861</v>
      </c>
      <c r="N17" s="112">
        <f t="shared" si="7"/>
        <v>3366756.6468954696</v>
      </c>
      <c r="O17" s="112">
        <f t="shared" si="7"/>
        <v>3505457.3730996847</v>
      </c>
      <c r="P17" s="112">
        <f t="shared" si="7"/>
        <v>3642098.1875285897</v>
      </c>
      <c r="Q17" s="112">
        <f t="shared" si="7"/>
        <v>3775534.6947514568</v>
      </c>
      <c r="R17" s="112">
        <f t="shared" si="7"/>
        <v>3906682.4111128682</v>
      </c>
      <c r="S17" s="112">
        <f t="shared" si="7"/>
        <v>4158678.2849591407</v>
      </c>
      <c r="T17" s="201">
        <f>SUM(J17:S17)</f>
        <v>33037497.516518343</v>
      </c>
      <c r="U17" s="117"/>
    </row>
    <row r="18" spans="1:22" ht="23.25" x14ac:dyDescent="0.25">
      <c r="A18" s="18"/>
      <c r="G18" s="100" t="s">
        <v>271</v>
      </c>
      <c r="H18" s="167"/>
      <c r="I18" s="111"/>
      <c r="J18" s="113">
        <f>J8</f>
        <v>184270.89380000019</v>
      </c>
      <c r="K18" s="113">
        <f t="shared" ref="K18:S18" si="8">K8</f>
        <v>460677.23450000049</v>
      </c>
      <c r="L18" s="113">
        <f t="shared" si="8"/>
        <v>737083.57519999973</v>
      </c>
      <c r="M18" s="113">
        <f t="shared" si="8"/>
        <v>921354.46899999992</v>
      </c>
      <c r="N18" s="113">
        <f t="shared" si="8"/>
        <v>1105625.3628000002</v>
      </c>
      <c r="O18" s="113">
        <f t="shared" si="8"/>
        <v>1105625.3628000002</v>
      </c>
      <c r="P18" s="113">
        <f t="shared" si="8"/>
        <v>1105625.3628000002</v>
      </c>
      <c r="Q18" s="113">
        <f t="shared" si="8"/>
        <v>1105625.3628000002</v>
      </c>
      <c r="R18" s="113">
        <f t="shared" si="8"/>
        <v>1105625.3628000002</v>
      </c>
      <c r="S18" s="113">
        <f t="shared" si="8"/>
        <v>1105625.3628000002</v>
      </c>
      <c r="T18" s="201">
        <f>SUM(J18:S18)</f>
        <v>8937138.3493000008</v>
      </c>
    </row>
    <row r="19" spans="1:22" x14ac:dyDescent="0.25">
      <c r="A19" s="18"/>
      <c r="G19" s="101" t="s">
        <v>9</v>
      </c>
      <c r="H19" s="97"/>
      <c r="I19" s="97"/>
      <c r="J19" s="170">
        <f>SUM(J17:J18)</f>
        <v>2040577.8153487407</v>
      </c>
      <c r="K19" s="170">
        <f t="shared" ref="K19:T19" si="9">SUM(K17:K18)</f>
        <v>3178283.705593924</v>
      </c>
      <c r="L19" s="170">
        <f t="shared" si="9"/>
        <v>3688191.3162149843</v>
      </c>
      <c r="M19" s="170">
        <f t="shared" si="9"/>
        <v>4078623.2535134861</v>
      </c>
      <c r="N19" s="170">
        <f t="shared" si="9"/>
        <v>4472382.0096954703</v>
      </c>
      <c r="O19" s="170">
        <f t="shared" si="9"/>
        <v>4611082.735899685</v>
      </c>
      <c r="P19" s="170">
        <f t="shared" si="9"/>
        <v>4747723.55032859</v>
      </c>
      <c r="Q19" s="170">
        <f t="shared" si="9"/>
        <v>4881160.0575514566</v>
      </c>
      <c r="R19" s="170">
        <f t="shared" si="9"/>
        <v>5012307.7739128685</v>
      </c>
      <c r="S19" s="170">
        <f t="shared" si="9"/>
        <v>5264303.6477591414</v>
      </c>
      <c r="T19" s="200">
        <f t="shared" si="9"/>
        <v>41974635.865818344</v>
      </c>
    </row>
    <row r="20" spans="1:22" x14ac:dyDescent="0.25">
      <c r="A20" s="18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</row>
    <row r="21" spans="1:22" x14ac:dyDescent="0.25">
      <c r="A21" s="18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</row>
    <row r="22" spans="1:22" ht="79.5" customHeight="1" x14ac:dyDescent="0.25">
      <c r="A22" s="18"/>
      <c r="G22" s="363" t="s">
        <v>167</v>
      </c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</row>
    <row r="23" spans="1:22" x14ac:dyDescent="0.25">
      <c r="G23" s="97"/>
      <c r="H23" s="97"/>
      <c r="I23" s="96">
        <v>2020</v>
      </c>
      <c r="J23" s="96">
        <v>2021</v>
      </c>
      <c r="K23" s="96">
        <v>2022</v>
      </c>
      <c r="L23" s="96">
        <v>2023</v>
      </c>
      <c r="M23" s="96">
        <v>2024</v>
      </c>
      <c r="N23" s="96">
        <v>2025</v>
      </c>
      <c r="O23" s="96">
        <v>2026</v>
      </c>
      <c r="P23" s="96">
        <v>2027</v>
      </c>
      <c r="Q23" s="96">
        <v>2028</v>
      </c>
      <c r="R23" s="96">
        <v>2029</v>
      </c>
      <c r="S23" s="96">
        <v>2030</v>
      </c>
      <c r="T23" s="201" t="s">
        <v>9</v>
      </c>
    </row>
    <row r="24" spans="1:22" x14ac:dyDescent="0.25">
      <c r="G24" s="100" t="s">
        <v>229</v>
      </c>
      <c r="H24" s="97"/>
      <c r="I24" s="97"/>
      <c r="J24" s="113">
        <f>'Incremento facturación cero'!B14</f>
        <v>1011360</v>
      </c>
      <c r="K24" s="113"/>
      <c r="L24" s="112"/>
      <c r="M24" s="112"/>
      <c r="N24" s="112"/>
      <c r="O24" s="112"/>
      <c r="P24" s="112"/>
      <c r="Q24" s="112"/>
      <c r="R24" s="112"/>
      <c r="S24" s="112"/>
      <c r="T24" s="201">
        <f>+J24</f>
        <v>1011360</v>
      </c>
    </row>
    <row r="25" spans="1:22" ht="23.25" x14ac:dyDescent="0.25">
      <c r="G25" s="100" t="s">
        <v>230</v>
      </c>
      <c r="H25" s="97"/>
      <c r="I25" s="96"/>
      <c r="J25" s="112">
        <f>'Ingreso por Cobertura'!C65</f>
        <v>366059.54699999996</v>
      </c>
      <c r="K25" s="112">
        <f>'Ingreso por Cobertura'!D65</f>
        <v>188263.93463499995</v>
      </c>
      <c r="L25" s="112">
        <f>'Ingreso por Cobertura'!E65</f>
        <v>187521.71212442493</v>
      </c>
      <c r="M25" s="112">
        <f>'Ingreso por Cobertura'!F65</f>
        <v>186714.86355323979</v>
      </c>
      <c r="N25" s="112">
        <f>'Ingreso por Cobertura'!G65</f>
        <v>185535.45302578717</v>
      </c>
      <c r="O25" s="112">
        <f>'Ingreso por Cobertura'!H65</f>
        <v>185521.67564066147</v>
      </c>
      <c r="P25" s="112">
        <f>'Ingreso por Cobertura'!I65</f>
        <v>183888.64983581778</v>
      </c>
      <c r="Q25" s="112">
        <f>'Ingreso por Cobertura'!J65</f>
        <v>183445.48765225118</v>
      </c>
      <c r="R25" s="112">
        <f>'Ingreso por Cobertura'!K65</f>
        <v>357771.52553875302</v>
      </c>
      <c r="S25" s="112">
        <f>'Ingreso por Cobertura'!L65</f>
        <v>0</v>
      </c>
      <c r="T25" s="201">
        <f>SUM(J25:S25)</f>
        <v>2024722.8490059352</v>
      </c>
    </row>
    <row r="26" spans="1:22" ht="23.25" x14ac:dyDescent="0.25">
      <c r="G26" s="100" t="s">
        <v>276</v>
      </c>
      <c r="H26" s="97"/>
      <c r="I26" s="96"/>
      <c r="J26" s="112">
        <f>'Ingreso por Cobertura'!B28*'Ingreso por Cobertura'!B34</f>
        <v>753200</v>
      </c>
      <c r="K26" s="112"/>
      <c r="L26" s="112"/>
      <c r="M26" s="112"/>
      <c r="N26" s="112"/>
      <c r="O26" s="112"/>
      <c r="P26" s="112"/>
      <c r="Q26" s="112"/>
      <c r="R26" s="112"/>
      <c r="S26" s="112"/>
      <c r="T26" s="201">
        <f>SUM(J26:S26)</f>
        <v>753200</v>
      </c>
    </row>
    <row r="27" spans="1:22" ht="34.5" x14ac:dyDescent="0.25">
      <c r="G27" s="100" t="s">
        <v>275</v>
      </c>
      <c r="H27" s="97"/>
      <c r="I27" s="110">
        <f>I25+I26</f>
        <v>0</v>
      </c>
      <c r="J27" s="110">
        <f>SUM(J24:J26)</f>
        <v>2130619.5470000003</v>
      </c>
      <c r="K27" s="110">
        <f t="shared" ref="K27:R27" si="10">SUM(K24:K26)</f>
        <v>188263.93463499995</v>
      </c>
      <c r="L27" s="110">
        <f t="shared" si="10"/>
        <v>187521.71212442493</v>
      </c>
      <c r="M27" s="110">
        <f t="shared" si="10"/>
        <v>186714.86355323979</v>
      </c>
      <c r="N27" s="110">
        <f t="shared" si="10"/>
        <v>185535.45302578717</v>
      </c>
      <c r="O27" s="110">
        <f t="shared" si="10"/>
        <v>185521.67564066147</v>
      </c>
      <c r="P27" s="110">
        <f t="shared" si="10"/>
        <v>183888.64983581778</v>
      </c>
      <c r="Q27" s="110">
        <f t="shared" si="10"/>
        <v>183445.48765225118</v>
      </c>
      <c r="R27" s="110">
        <f t="shared" si="10"/>
        <v>357771.52553875302</v>
      </c>
      <c r="S27" s="110">
        <f t="shared" ref="S27" si="11">S25+S26</f>
        <v>0</v>
      </c>
      <c r="T27" s="201">
        <f>+T26+T25+T24</f>
        <v>3789282.8490059352</v>
      </c>
      <c r="U27" s="117"/>
      <c r="V27" s="117"/>
    </row>
    <row r="28" spans="1:22" x14ac:dyDescent="0.25">
      <c r="G28" s="175"/>
      <c r="H28" s="175"/>
      <c r="I28" s="175"/>
      <c r="J28" s="175"/>
      <c r="K28" s="175"/>
      <c r="L28" s="175"/>
      <c r="M28" s="97"/>
      <c r="N28" s="97"/>
      <c r="O28" s="97"/>
      <c r="P28" s="97"/>
      <c r="Q28" s="97"/>
      <c r="R28" s="97"/>
      <c r="S28" s="97"/>
      <c r="T28" s="196"/>
    </row>
    <row r="29" spans="1:22" x14ac:dyDescent="0.25"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196"/>
    </row>
    <row r="30" spans="1:22" x14ac:dyDescent="0.25">
      <c r="G30" s="205" t="s">
        <v>272</v>
      </c>
      <c r="H30" s="196"/>
      <c r="I30" s="196"/>
      <c r="J30" s="204">
        <f>J19+J27</f>
        <v>4171197.3623487409</v>
      </c>
      <c r="K30" s="204">
        <f t="shared" ref="K30:T30" si="12">K19+K27</f>
        <v>3366547.6402289239</v>
      </c>
      <c r="L30" s="204">
        <f t="shared" si="12"/>
        <v>3875713.0283394093</v>
      </c>
      <c r="M30" s="204">
        <f t="shared" si="12"/>
        <v>4265338.1170667261</v>
      </c>
      <c r="N30" s="204">
        <f t="shared" si="12"/>
        <v>4657917.4627212575</v>
      </c>
      <c r="O30" s="204">
        <f t="shared" si="12"/>
        <v>4796604.4115403462</v>
      </c>
      <c r="P30" s="204">
        <f t="shared" si="12"/>
        <v>4931612.2001644075</v>
      </c>
      <c r="Q30" s="204">
        <f t="shared" si="12"/>
        <v>5064605.5452037081</v>
      </c>
      <c r="R30" s="204">
        <f t="shared" si="12"/>
        <v>5370079.2994516212</v>
      </c>
      <c r="S30" s="204">
        <f t="shared" si="12"/>
        <v>5264303.6477591414</v>
      </c>
      <c r="T30" s="204">
        <f t="shared" si="12"/>
        <v>45763918.714824282</v>
      </c>
    </row>
    <row r="31" spans="1:22" s="11" customFormat="1" x14ac:dyDescent="0.25"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7" spans="2:6" x14ac:dyDescent="0.25">
      <c r="B37" s="11"/>
      <c r="C37" s="11"/>
      <c r="D37" s="11"/>
      <c r="E37" s="14"/>
      <c r="F37" s="14"/>
    </row>
  </sheetData>
  <mergeCells count="2">
    <mergeCell ref="A2:E2"/>
    <mergeCell ref="G22:T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47"/>
  <sheetViews>
    <sheetView workbookViewId="0">
      <selection activeCell="B27" sqref="B27"/>
    </sheetView>
  </sheetViews>
  <sheetFormatPr baseColWidth="10" defaultColWidth="11.42578125" defaultRowHeight="15" x14ac:dyDescent="0.25"/>
  <cols>
    <col min="1" max="1" width="71.140625" customWidth="1"/>
    <col min="2" max="2" width="13.28515625" customWidth="1"/>
    <col min="3" max="3" width="18.7109375" customWidth="1"/>
    <col min="6" max="6" width="19.85546875" customWidth="1"/>
    <col min="7" max="7" width="12.5703125" bestFit="1" customWidth="1"/>
    <col min="8" max="8" width="56.28515625" customWidth="1"/>
    <col min="9" max="9" width="12.7109375" customWidth="1"/>
    <col min="10" max="10" width="15.140625" customWidth="1"/>
    <col min="12" max="12" width="15.5703125" customWidth="1"/>
  </cols>
  <sheetData>
    <row r="1" spans="1:5" ht="18.75" x14ac:dyDescent="0.3">
      <c r="A1" s="362" t="s">
        <v>94</v>
      </c>
      <c r="B1" s="362"/>
      <c r="C1" s="362"/>
    </row>
    <row r="4" spans="1:5" x14ac:dyDescent="0.25">
      <c r="A4" s="53" t="s">
        <v>56</v>
      </c>
      <c r="B4" s="2">
        <v>43568</v>
      </c>
      <c r="C4" s="53" t="s">
        <v>221</v>
      </c>
      <c r="D4" s="53"/>
      <c r="E4" s="53"/>
    </row>
    <row r="5" spans="1:5" x14ac:dyDescent="0.25">
      <c r="A5" s="53" t="s">
        <v>77</v>
      </c>
      <c r="B5" s="45">
        <v>0.86</v>
      </c>
      <c r="C5" s="53"/>
      <c r="D5" s="53"/>
      <c r="E5" s="53"/>
    </row>
    <row r="6" spans="1:5" x14ac:dyDescent="0.25">
      <c r="A6" s="56" t="s">
        <v>78</v>
      </c>
      <c r="B6" s="57">
        <f>+B4*B5</f>
        <v>37468.479999999996</v>
      </c>
      <c r="C6" s="53"/>
      <c r="D6" s="53"/>
      <c r="E6" s="53"/>
    </row>
    <row r="7" spans="1:5" x14ac:dyDescent="0.25">
      <c r="A7" s="56" t="s">
        <v>76</v>
      </c>
      <c r="B7" s="45">
        <v>0.97</v>
      </c>
      <c r="C7" s="53"/>
      <c r="D7" s="53"/>
      <c r="E7" s="53"/>
    </row>
    <row r="8" spans="1:5" ht="30" x14ac:dyDescent="0.25">
      <c r="A8" s="56" t="s">
        <v>75</v>
      </c>
      <c r="B8" s="2">
        <f>+B6*B7</f>
        <v>36344.425599999995</v>
      </c>
      <c r="C8" s="53"/>
      <c r="D8" s="53"/>
      <c r="E8" s="53"/>
    </row>
    <row r="9" spans="1:5" x14ac:dyDescent="0.25">
      <c r="A9" s="53"/>
      <c r="B9" s="53"/>
      <c r="C9" s="53"/>
      <c r="D9" s="53"/>
      <c r="E9" s="53"/>
    </row>
    <row r="10" spans="1:5" ht="30" x14ac:dyDescent="0.25">
      <c r="A10" s="56" t="s">
        <v>79</v>
      </c>
      <c r="B10" s="58">
        <f>ROUNDUP((B4-B8),0)</f>
        <v>7224</v>
      </c>
      <c r="C10" s="53"/>
      <c r="D10" s="53"/>
      <c r="E10" s="53"/>
    </row>
    <row r="11" spans="1:5" x14ac:dyDescent="0.25">
      <c r="A11" s="53"/>
      <c r="B11" s="2"/>
      <c r="C11" s="53"/>
      <c r="D11" s="53"/>
      <c r="E11" s="53"/>
    </row>
    <row r="12" spans="1:5" x14ac:dyDescent="0.25">
      <c r="A12" s="56" t="s">
        <v>80</v>
      </c>
      <c r="B12" s="53">
        <v>140</v>
      </c>
      <c r="C12" s="53"/>
      <c r="D12" s="53"/>
      <c r="E12" s="53"/>
    </row>
    <row r="13" spans="1:5" x14ac:dyDescent="0.25">
      <c r="A13" s="53"/>
      <c r="B13" s="53"/>
      <c r="C13" s="53"/>
      <c r="D13" s="53"/>
      <c r="E13" s="53"/>
    </row>
    <row r="14" spans="1:5" x14ac:dyDescent="0.25">
      <c r="A14" s="59" t="s">
        <v>81</v>
      </c>
      <c r="B14" s="58">
        <f>+B12*B10</f>
        <v>1011360</v>
      </c>
      <c r="C14" s="53"/>
      <c r="D14" s="53"/>
      <c r="E14" s="45"/>
    </row>
    <row r="15" spans="1:5" x14ac:dyDescent="0.25">
      <c r="A15" s="53"/>
      <c r="B15" s="53"/>
      <c r="C15" s="53"/>
      <c r="D15" s="53"/>
      <c r="E15" s="53"/>
    </row>
    <row r="16" spans="1:5" x14ac:dyDescent="0.25">
      <c r="A16" s="53"/>
      <c r="B16" s="53"/>
      <c r="C16" s="53"/>
      <c r="D16" s="53"/>
      <c r="E16" s="53"/>
    </row>
    <row r="17" spans="1:15" x14ac:dyDescent="0.25">
      <c r="A17" s="60" t="s">
        <v>82</v>
      </c>
      <c r="B17" s="53"/>
      <c r="C17" s="53"/>
      <c r="D17" s="53"/>
      <c r="E17" s="53"/>
      <c r="H17">
        <f>G17-G16</f>
        <v>0</v>
      </c>
    </row>
    <row r="18" spans="1:15" x14ac:dyDescent="0.25">
      <c r="A18" s="53" t="s">
        <v>141</v>
      </c>
      <c r="B18" s="53"/>
      <c r="C18" s="53"/>
      <c r="D18" s="53"/>
      <c r="E18" s="53"/>
    </row>
    <row r="19" spans="1:15" x14ac:dyDescent="0.25">
      <c r="A19" s="53" t="s">
        <v>139</v>
      </c>
      <c r="B19" s="2">
        <f>'Respaldo (I) cuentas cero'!E17</f>
        <v>5547</v>
      </c>
      <c r="C19" s="53" t="s">
        <v>140</v>
      </c>
      <c r="D19" s="53"/>
      <c r="E19" s="53"/>
    </row>
    <row r="20" spans="1:15" x14ac:dyDescent="0.25">
      <c r="A20" s="53" t="s">
        <v>0</v>
      </c>
      <c r="B20" s="2">
        <f>'Respaldo (I) cuentas cero'!E33</f>
        <v>625</v>
      </c>
      <c r="C20" s="53" t="s">
        <v>140</v>
      </c>
      <c r="D20" s="53"/>
      <c r="E20" s="53"/>
    </row>
    <row r="21" spans="1:15" x14ac:dyDescent="0.25">
      <c r="A21" s="53" t="s">
        <v>1</v>
      </c>
      <c r="B21" s="2">
        <f>SUM(B19:B20)</f>
        <v>6172</v>
      </c>
      <c r="C21" s="53" t="s">
        <v>140</v>
      </c>
      <c r="D21" s="53"/>
      <c r="E21" s="53"/>
    </row>
    <row r="22" spans="1:15" x14ac:dyDescent="0.25">
      <c r="A22" s="53"/>
      <c r="B22" s="53"/>
      <c r="C22" s="53"/>
      <c r="D22" s="53"/>
      <c r="E22" s="53"/>
    </row>
    <row r="23" spans="1:15" x14ac:dyDescent="0.25">
      <c r="A23" s="53" t="s">
        <v>30</v>
      </c>
      <c r="B23" s="2">
        <f>'Respaldo (I) cuentas cero'!P24</f>
        <v>32.333576545502787</v>
      </c>
      <c r="C23" s="53" t="s">
        <v>31</v>
      </c>
      <c r="D23" s="53" t="s">
        <v>150</v>
      </c>
      <c r="E23" s="53"/>
    </row>
    <row r="24" spans="1:15" x14ac:dyDescent="0.25">
      <c r="A24" s="53" t="s">
        <v>152</v>
      </c>
      <c r="B24" s="2">
        <f>'Respaldo (I) cuentas cero'!S14*12</f>
        <v>11699064</v>
      </c>
      <c r="C24" s="53" t="s">
        <v>146</v>
      </c>
      <c r="D24" s="53"/>
      <c r="E24" s="53"/>
    </row>
    <row r="25" spans="1:15" x14ac:dyDescent="0.25">
      <c r="A25" s="53"/>
      <c r="B25" s="53"/>
      <c r="C25" s="53"/>
      <c r="D25" s="53"/>
      <c r="E25" s="53"/>
    </row>
    <row r="26" spans="1:15" x14ac:dyDescent="0.25">
      <c r="A26" s="53" t="s">
        <v>143</v>
      </c>
      <c r="B26" s="61">
        <v>0.1</v>
      </c>
      <c r="C26" s="53"/>
      <c r="D26" s="53"/>
      <c r="E26" s="53"/>
      <c r="K26" s="116"/>
      <c r="L26" s="116"/>
      <c r="M26" s="18"/>
      <c r="N26" s="18"/>
      <c r="O26" s="18"/>
    </row>
    <row r="27" spans="1:15" x14ac:dyDescent="0.25">
      <c r="A27" s="53" t="s">
        <v>144</v>
      </c>
      <c r="B27" s="2">
        <v>0.49</v>
      </c>
      <c r="C27" s="53" t="s">
        <v>145</v>
      </c>
      <c r="D27" s="53"/>
      <c r="E27" s="53"/>
      <c r="H27" s="116"/>
      <c r="I27" s="116"/>
      <c r="J27" s="116"/>
      <c r="K27" s="116"/>
      <c r="L27" s="116"/>
      <c r="M27" s="18"/>
      <c r="N27" s="18"/>
      <c r="O27" s="18"/>
    </row>
    <row r="28" spans="1:15" x14ac:dyDescent="0.25">
      <c r="A28" s="53"/>
      <c r="B28" s="53"/>
      <c r="C28" s="53"/>
      <c r="D28" s="53"/>
      <c r="E28" s="53"/>
      <c r="H28" s="116"/>
      <c r="I28" s="116"/>
      <c r="J28" s="116"/>
      <c r="K28" s="116"/>
      <c r="L28" s="116"/>
      <c r="M28" s="18"/>
      <c r="N28" s="18"/>
      <c r="O28" s="18"/>
    </row>
    <row r="29" spans="1:15" x14ac:dyDescent="0.25">
      <c r="A29" s="53" t="s">
        <v>203</v>
      </c>
      <c r="B29" s="2">
        <f>10*I36+15*I37+(B23-25)*I38</f>
        <v>11.618479954895196</v>
      </c>
      <c r="C29" s="53" t="s">
        <v>32</v>
      </c>
      <c r="D29" s="53"/>
      <c r="E29" s="53"/>
      <c r="H29" s="116" t="s">
        <v>192</v>
      </c>
      <c r="I29" s="154">
        <f>B27</f>
        <v>0.49</v>
      </c>
      <c r="J29" s="116" t="s">
        <v>196</v>
      </c>
      <c r="K29" s="116"/>
      <c r="L29" s="116"/>
      <c r="M29" s="18"/>
      <c r="N29" s="18"/>
      <c r="O29" s="18"/>
    </row>
    <row r="30" spans="1:15" ht="90" x14ac:dyDescent="0.25">
      <c r="A30" s="53" t="s">
        <v>136</v>
      </c>
      <c r="B30" s="22">
        <f>B29*12*B19</f>
        <v>773372.49971764395</v>
      </c>
      <c r="C30" s="24" t="s">
        <v>142</v>
      </c>
      <c r="D30" s="53"/>
      <c r="E30" s="53"/>
      <c r="H30" s="163" t="s">
        <v>251</v>
      </c>
      <c r="I30" s="163" t="s">
        <v>189</v>
      </c>
      <c r="J30" s="163"/>
      <c r="K30" s="163" t="s">
        <v>191</v>
      </c>
      <c r="L30" s="163"/>
      <c r="M30" s="163" t="s">
        <v>249</v>
      </c>
      <c r="N30" s="163" t="s">
        <v>250</v>
      </c>
      <c r="O30" s="18"/>
    </row>
    <row r="31" spans="1:15" x14ac:dyDescent="0.25">
      <c r="A31" s="53"/>
      <c r="B31" s="53"/>
      <c r="C31" s="53"/>
      <c r="D31" s="53"/>
      <c r="E31" s="53"/>
      <c r="H31" s="116" t="s">
        <v>253</v>
      </c>
      <c r="I31" s="157">
        <v>0.33</v>
      </c>
      <c r="J31" s="157" t="s">
        <v>148</v>
      </c>
      <c r="K31" s="158">
        <f>I31-I31*B26</f>
        <v>0.29700000000000004</v>
      </c>
      <c r="L31" s="157" t="s">
        <v>261</v>
      </c>
      <c r="M31" s="157">
        <f>I29-K31</f>
        <v>0.19299999999999995</v>
      </c>
      <c r="N31" s="157">
        <f>M31*1.7</f>
        <v>0.32809999999999989</v>
      </c>
      <c r="O31" s="18"/>
    </row>
    <row r="32" spans="1:15" x14ac:dyDescent="0.25">
      <c r="A32" s="53" t="s">
        <v>147</v>
      </c>
      <c r="B32" s="12">
        <f>'Respaldo (I) cuentas cero'!J30</f>
        <v>54.715348068580873</v>
      </c>
      <c r="C32" s="53" t="s">
        <v>31</v>
      </c>
      <c r="D32" s="53" t="s">
        <v>265</v>
      </c>
      <c r="E32" s="53"/>
      <c r="F32" s="7"/>
      <c r="H32" s="116" t="s">
        <v>254</v>
      </c>
      <c r="I32" s="157">
        <v>0.33</v>
      </c>
      <c r="J32" s="157" t="s">
        <v>148</v>
      </c>
      <c r="K32" s="158">
        <f>I32-I32*B26</f>
        <v>0.29700000000000004</v>
      </c>
      <c r="L32" s="157" t="s">
        <v>260</v>
      </c>
      <c r="M32" s="157">
        <f>I29-K32</f>
        <v>0.19299999999999995</v>
      </c>
      <c r="N32" s="157">
        <f>M32*1.7</f>
        <v>0.32809999999999989</v>
      </c>
      <c r="O32" s="18"/>
    </row>
    <row r="33" spans="1:15" x14ac:dyDescent="0.25">
      <c r="A33" s="53" t="s">
        <v>149</v>
      </c>
      <c r="B33" s="12">
        <f>'Respaldo (I) cuentas cero'!I30*12</f>
        <v>3178524</v>
      </c>
      <c r="C33" s="53" t="s">
        <v>146</v>
      </c>
      <c r="D33" s="53"/>
      <c r="E33" s="53"/>
      <c r="H33" s="116" t="s">
        <v>255</v>
      </c>
      <c r="I33" s="157">
        <v>0.24</v>
      </c>
      <c r="J33" s="157" t="s">
        <v>148</v>
      </c>
      <c r="K33" s="158">
        <f>I33-I33*B26</f>
        <v>0.216</v>
      </c>
      <c r="L33" s="157" t="s">
        <v>259</v>
      </c>
      <c r="M33" s="157">
        <f>I29-K33</f>
        <v>0.27400000000000002</v>
      </c>
      <c r="N33" s="157">
        <f>M33*1.7</f>
        <v>0.46580000000000005</v>
      </c>
      <c r="O33" s="18"/>
    </row>
    <row r="34" spans="1:15" s="72" customFormat="1" x14ac:dyDescent="0.25">
      <c r="A34" s="53"/>
      <c r="B34" s="12"/>
      <c r="C34" s="53"/>
      <c r="D34" s="53"/>
      <c r="E34" s="53"/>
      <c r="H34" s="116" t="s">
        <v>256</v>
      </c>
      <c r="I34" s="157">
        <v>0</v>
      </c>
      <c r="J34" s="157" t="s">
        <v>257</v>
      </c>
      <c r="K34" s="158">
        <v>0</v>
      </c>
      <c r="L34" s="157" t="s">
        <v>258</v>
      </c>
      <c r="M34" s="157">
        <v>0.49</v>
      </c>
      <c r="N34" s="157">
        <f>M34*1.7</f>
        <v>0.83299999999999996</v>
      </c>
      <c r="O34" s="18"/>
    </row>
    <row r="35" spans="1:15" x14ac:dyDescent="0.25">
      <c r="A35" s="53" t="s">
        <v>238</v>
      </c>
      <c r="B35" s="12">
        <f>25*L41+25*L42+(B32-50)*L43</f>
        <v>36.397884941127863</v>
      </c>
      <c r="C35" s="53" t="s">
        <v>151</v>
      </c>
      <c r="D35" s="53"/>
      <c r="E35" s="53"/>
      <c r="H35" s="161"/>
      <c r="I35" s="162"/>
      <c r="J35" s="162"/>
      <c r="K35" s="162"/>
      <c r="L35" s="162"/>
      <c r="M35" s="159"/>
      <c r="N35" s="159"/>
      <c r="O35" s="18"/>
    </row>
    <row r="36" spans="1:15" x14ac:dyDescent="0.25">
      <c r="A36" s="53" t="s">
        <v>136</v>
      </c>
      <c r="B36" s="44">
        <f>B35*B20*12</f>
        <v>272984.13705845899</v>
      </c>
      <c r="C36" s="62" t="s">
        <v>142</v>
      </c>
      <c r="D36" s="53"/>
      <c r="E36" s="53"/>
      <c r="H36" s="116" t="s">
        <v>193</v>
      </c>
      <c r="I36" s="157">
        <f>N31</f>
        <v>0.32809999999999989</v>
      </c>
      <c r="J36" s="157" t="s">
        <v>190</v>
      </c>
      <c r="K36" s="157"/>
      <c r="L36" s="157"/>
      <c r="M36" s="159"/>
      <c r="N36" s="159"/>
      <c r="O36" s="18"/>
    </row>
    <row r="37" spans="1:15" x14ac:dyDescent="0.25">
      <c r="A37" s="53"/>
      <c r="B37" s="53"/>
      <c r="C37" s="53"/>
      <c r="D37" s="53"/>
      <c r="E37" s="53"/>
      <c r="H37" s="116" t="s">
        <v>194</v>
      </c>
      <c r="I37" s="157">
        <f>N32</f>
        <v>0.32809999999999989</v>
      </c>
      <c r="J37" s="157" t="s">
        <v>187</v>
      </c>
      <c r="K37" s="157"/>
      <c r="L37" s="157"/>
      <c r="M37" s="159"/>
      <c r="N37" s="159"/>
      <c r="O37" s="18"/>
    </row>
    <row r="38" spans="1:15" x14ac:dyDescent="0.25">
      <c r="A38" s="53" t="s">
        <v>33</v>
      </c>
      <c r="B38" s="44">
        <f>B30+B36</f>
        <v>1046356.6367761029</v>
      </c>
      <c r="C38" s="62" t="s">
        <v>142</v>
      </c>
      <c r="D38" s="53"/>
      <c r="E38" s="53"/>
      <c r="H38" s="155" t="s">
        <v>195</v>
      </c>
      <c r="I38" s="157">
        <f>N33</f>
        <v>0.46580000000000005</v>
      </c>
      <c r="J38" s="157" t="s">
        <v>188</v>
      </c>
      <c r="K38" s="157"/>
      <c r="L38" s="157"/>
      <c r="M38" s="159"/>
      <c r="N38" s="159"/>
      <c r="O38" s="18"/>
    </row>
    <row r="39" spans="1:15" x14ac:dyDescent="0.25">
      <c r="A39" s="63" t="s">
        <v>138</v>
      </c>
      <c r="B39" s="53"/>
      <c r="C39" s="53"/>
      <c r="D39" s="53"/>
      <c r="E39" s="53"/>
      <c r="H39" s="18"/>
      <c r="I39" s="159"/>
      <c r="J39" s="159"/>
      <c r="K39" s="159"/>
      <c r="L39" s="159"/>
      <c r="M39" s="159"/>
      <c r="N39" s="159"/>
      <c r="O39" s="18"/>
    </row>
    <row r="40" spans="1:15" x14ac:dyDescent="0.25">
      <c r="A40" s="63" t="s">
        <v>34</v>
      </c>
      <c r="B40" s="53"/>
      <c r="C40" s="53"/>
      <c r="D40" s="53"/>
      <c r="E40" s="53"/>
      <c r="H40" s="156" t="s">
        <v>252</v>
      </c>
      <c r="I40" s="160" t="s">
        <v>209</v>
      </c>
      <c r="J40" s="160" t="s">
        <v>210</v>
      </c>
      <c r="K40" s="160" t="s">
        <v>211</v>
      </c>
      <c r="L40" s="160" t="s">
        <v>212</v>
      </c>
      <c r="O40" s="116"/>
    </row>
    <row r="41" spans="1:15" x14ac:dyDescent="0.25">
      <c r="A41" s="53"/>
      <c r="B41" s="53"/>
      <c r="C41" s="53"/>
      <c r="D41" s="53"/>
      <c r="E41" s="53"/>
      <c r="H41" s="116" t="s">
        <v>262</v>
      </c>
      <c r="I41" s="157">
        <v>0.49</v>
      </c>
      <c r="J41" s="157">
        <v>0.12</v>
      </c>
      <c r="K41" s="157">
        <f>J41-J41*$B$26</f>
        <v>0.108</v>
      </c>
      <c r="L41" s="157">
        <f>(I41-K41)*1.7</f>
        <v>0.64939999999999998</v>
      </c>
      <c r="O41" s="116"/>
    </row>
    <row r="42" spans="1:15" x14ac:dyDescent="0.25">
      <c r="A42" s="53" t="s">
        <v>157</v>
      </c>
      <c r="B42" s="6">
        <f>B38*10</f>
        <v>10463566.367761029</v>
      </c>
      <c r="C42" s="53"/>
      <c r="D42" s="53"/>
      <c r="E42" s="53"/>
      <c r="H42" s="116" t="s">
        <v>263</v>
      </c>
      <c r="I42" s="157">
        <v>0.49</v>
      </c>
      <c r="J42" s="157">
        <v>0.12</v>
      </c>
      <c r="K42" s="157">
        <f t="shared" ref="K42:K43" si="0">J42-J42*$B$26</f>
        <v>0.108</v>
      </c>
      <c r="L42" s="157">
        <f t="shared" ref="L42:L43" si="1">(I42-K42)*1.7</f>
        <v>0.64939999999999998</v>
      </c>
      <c r="O42" s="116"/>
    </row>
    <row r="43" spans="1:15" x14ac:dyDescent="0.25">
      <c r="H43" s="116" t="s">
        <v>264</v>
      </c>
      <c r="I43" s="157">
        <v>0.49</v>
      </c>
      <c r="J43" s="157">
        <v>0</v>
      </c>
      <c r="K43" s="157">
        <f t="shared" si="0"/>
        <v>0</v>
      </c>
      <c r="L43" s="157">
        <f t="shared" si="1"/>
        <v>0.83299999999999996</v>
      </c>
      <c r="O43" s="116"/>
    </row>
    <row r="44" spans="1:15" x14ac:dyDescent="0.25">
      <c r="B44" s="7"/>
      <c r="H44" s="9"/>
      <c r="I44" s="66"/>
    </row>
    <row r="45" spans="1:15" x14ac:dyDescent="0.25">
      <c r="H45" s="64"/>
    </row>
    <row r="46" spans="1:15" x14ac:dyDescent="0.25">
      <c r="H46" s="64"/>
    </row>
    <row r="47" spans="1:15" x14ac:dyDescent="0.25">
      <c r="H47" s="64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U58"/>
  <sheetViews>
    <sheetView topLeftCell="G1" workbookViewId="0">
      <selection activeCell="A51" sqref="A51:B58"/>
    </sheetView>
  </sheetViews>
  <sheetFormatPr baseColWidth="10" defaultColWidth="11.42578125" defaultRowHeight="15" x14ac:dyDescent="0.25"/>
  <cols>
    <col min="1" max="1" width="28.28515625" customWidth="1"/>
    <col min="2" max="2" width="14.42578125" customWidth="1"/>
    <col min="9" max="9" width="25.28515625" customWidth="1"/>
    <col min="11" max="11" width="13.7109375" customWidth="1"/>
    <col min="15" max="15" width="13.85546875" customWidth="1"/>
    <col min="18" max="18" width="18.140625" customWidth="1"/>
    <col min="20" max="20" width="15.5703125" customWidth="1"/>
  </cols>
  <sheetData>
    <row r="1" spans="1:21" ht="18.75" x14ac:dyDescent="0.3">
      <c r="A1" s="362" t="s">
        <v>83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</row>
    <row r="2" spans="1:21" x14ac:dyDescent="0.25">
      <c r="A2" s="21"/>
      <c r="B2" s="21"/>
      <c r="C2" s="21"/>
      <c r="D2" s="21"/>
      <c r="E2" s="21"/>
    </row>
    <row r="3" spans="1:21" ht="30" customHeight="1" x14ac:dyDescent="0.25">
      <c r="C3" s="368" t="s">
        <v>2</v>
      </c>
      <c r="D3" s="372"/>
      <c r="E3" s="369"/>
      <c r="F3" s="367" t="s">
        <v>3</v>
      </c>
      <c r="G3" s="367"/>
      <c r="H3" s="367" t="s">
        <v>4</v>
      </c>
      <c r="I3" s="367"/>
      <c r="J3" s="367" t="s">
        <v>5</v>
      </c>
      <c r="K3" s="367"/>
      <c r="L3" s="367" t="s">
        <v>6</v>
      </c>
      <c r="M3" s="367"/>
      <c r="N3" s="367" t="s">
        <v>7</v>
      </c>
      <c r="O3" s="367"/>
      <c r="P3" s="367" t="s">
        <v>8</v>
      </c>
      <c r="Q3" s="367"/>
      <c r="R3" s="368" t="s">
        <v>9</v>
      </c>
      <c r="S3" s="369"/>
      <c r="T3" s="365" t="s">
        <v>28</v>
      </c>
    </row>
    <row r="4" spans="1:21" x14ac:dyDescent="0.25">
      <c r="C4" s="370"/>
      <c r="D4" s="373"/>
      <c r="E4" s="371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70"/>
      <c r="S4" s="371"/>
      <c r="T4" s="366"/>
    </row>
    <row r="5" spans="1:21" ht="45" x14ac:dyDescent="0.25">
      <c r="C5" s="3" t="s">
        <v>10</v>
      </c>
      <c r="D5" s="3" t="s">
        <v>11</v>
      </c>
      <c r="E5" s="23" t="s">
        <v>202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12</v>
      </c>
      <c r="S5" s="3" t="s">
        <v>11</v>
      </c>
      <c r="T5" s="2" t="s">
        <v>29</v>
      </c>
    </row>
    <row r="6" spans="1:21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  <c r="S6" s="3"/>
      <c r="T6" s="4"/>
    </row>
    <row r="7" spans="1:21" x14ac:dyDescent="0.25">
      <c r="A7" s="3" t="s">
        <v>13</v>
      </c>
      <c r="B7" s="3"/>
      <c r="C7" s="3">
        <v>9989</v>
      </c>
      <c r="D7" s="3">
        <v>28894</v>
      </c>
      <c r="E7" s="3">
        <v>4918</v>
      </c>
      <c r="F7" s="3">
        <v>6320</v>
      </c>
      <c r="G7" s="3">
        <v>97489</v>
      </c>
      <c r="H7" s="3">
        <v>5429</v>
      </c>
      <c r="I7" s="3">
        <v>121454</v>
      </c>
      <c r="J7" s="3">
        <v>2290</v>
      </c>
      <c r="K7" s="3">
        <v>104850</v>
      </c>
      <c r="L7" s="3">
        <v>1905</v>
      </c>
      <c r="M7" s="3">
        <v>85802</v>
      </c>
      <c r="N7" s="3">
        <v>1114</v>
      </c>
      <c r="O7" s="3">
        <v>61435</v>
      </c>
      <c r="P7" s="3">
        <v>2290</v>
      </c>
      <c r="Q7" s="3">
        <v>243714</v>
      </c>
      <c r="R7" s="5">
        <f>(C7+F7+H7+J7+L7+N7+P7)-(E7)</f>
        <v>24419</v>
      </c>
      <c r="S7" s="5">
        <f>+D7+G7+I7+K7+M7+O7+Q7</f>
        <v>743638</v>
      </c>
      <c r="T7" s="40">
        <f>S7/R7</f>
        <v>30.453253613989109</v>
      </c>
    </row>
    <row r="8" spans="1:21" x14ac:dyDescent="0.25">
      <c r="A8" s="3" t="s">
        <v>14</v>
      </c>
      <c r="B8" s="3"/>
      <c r="C8" s="3">
        <v>2225</v>
      </c>
      <c r="D8" s="3">
        <v>30</v>
      </c>
      <c r="E8" s="126">
        <v>2221</v>
      </c>
      <c r="F8" s="3">
        <v>7</v>
      </c>
      <c r="G8" s="3">
        <v>109</v>
      </c>
      <c r="H8" s="3">
        <v>3</v>
      </c>
      <c r="I8" s="3">
        <v>75</v>
      </c>
      <c r="J8" s="3">
        <v>2</v>
      </c>
      <c r="K8" s="3">
        <v>67</v>
      </c>
      <c r="L8" s="3">
        <v>0</v>
      </c>
      <c r="M8" s="3">
        <v>0</v>
      </c>
      <c r="N8" s="3">
        <v>1</v>
      </c>
      <c r="O8" s="3">
        <v>53</v>
      </c>
      <c r="P8" s="3">
        <v>3</v>
      </c>
      <c r="Q8" s="3">
        <v>288</v>
      </c>
      <c r="R8" s="5">
        <f t="shared" ref="R8:R13" si="0">(C8+F8+H8+J8+L8+N8+P8)-(E8)</f>
        <v>20</v>
      </c>
      <c r="S8" s="5">
        <f t="shared" ref="S8:S13" si="1">+D8+G8+I8+K8+M8+O8+Q8</f>
        <v>622</v>
      </c>
      <c r="T8" s="40">
        <f t="shared" ref="T8:T14" si="2">S8/R8</f>
        <v>31.1</v>
      </c>
    </row>
    <row r="9" spans="1:21" x14ac:dyDescent="0.25">
      <c r="A9" s="3" t="s">
        <v>15</v>
      </c>
      <c r="B9" s="3"/>
      <c r="C9" s="3">
        <v>42</v>
      </c>
      <c r="D9" s="3">
        <v>48</v>
      </c>
      <c r="E9" s="3">
        <v>29</v>
      </c>
      <c r="F9" s="3">
        <v>10</v>
      </c>
      <c r="G9" s="3">
        <v>150</v>
      </c>
      <c r="H9" s="3">
        <v>9</v>
      </c>
      <c r="I9" s="3">
        <v>238</v>
      </c>
      <c r="J9" s="3">
        <v>5</v>
      </c>
      <c r="K9" s="3">
        <v>168</v>
      </c>
      <c r="L9" s="3">
        <v>5</v>
      </c>
      <c r="M9" s="3">
        <v>221</v>
      </c>
      <c r="N9" s="3">
        <v>3</v>
      </c>
      <c r="O9" s="3">
        <v>155</v>
      </c>
      <c r="P9" s="3">
        <v>90</v>
      </c>
      <c r="Q9" s="3">
        <v>44681</v>
      </c>
      <c r="R9" s="5">
        <f t="shared" si="0"/>
        <v>135</v>
      </c>
      <c r="S9" s="5">
        <f t="shared" si="1"/>
        <v>45661</v>
      </c>
      <c r="T9" s="40">
        <f t="shared" si="2"/>
        <v>338.22962962962964</v>
      </c>
    </row>
    <row r="10" spans="1:21" x14ac:dyDescent="0.25">
      <c r="A10" s="3" t="s">
        <v>16</v>
      </c>
      <c r="B10" s="3"/>
      <c r="C10" s="3">
        <v>2</v>
      </c>
      <c r="D10" s="3">
        <v>30</v>
      </c>
      <c r="E10" s="126">
        <v>2</v>
      </c>
      <c r="F10" s="3">
        <v>0</v>
      </c>
      <c r="G10" s="3">
        <v>109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53</v>
      </c>
      <c r="P10" s="3">
        <v>0</v>
      </c>
      <c r="Q10" s="3">
        <v>0</v>
      </c>
      <c r="R10" s="5">
        <f t="shared" si="0"/>
        <v>0</v>
      </c>
      <c r="S10" s="5">
        <f t="shared" si="1"/>
        <v>192</v>
      </c>
      <c r="T10" s="40"/>
    </row>
    <row r="11" spans="1:21" x14ac:dyDescent="0.25">
      <c r="A11" s="3" t="s">
        <v>17</v>
      </c>
      <c r="B11" s="3"/>
      <c r="C11" s="3">
        <v>85</v>
      </c>
      <c r="D11" s="3">
        <v>296</v>
      </c>
      <c r="E11" s="3">
        <v>85</v>
      </c>
      <c r="F11" s="3">
        <v>73</v>
      </c>
      <c r="G11" s="3">
        <v>1175</v>
      </c>
      <c r="H11" s="3">
        <v>62</v>
      </c>
      <c r="I11" s="3">
        <v>1577</v>
      </c>
      <c r="J11" s="3">
        <v>37</v>
      </c>
      <c r="K11" s="3">
        <v>1304</v>
      </c>
      <c r="L11" s="3">
        <v>24</v>
      </c>
      <c r="M11" s="3">
        <v>1046</v>
      </c>
      <c r="N11" s="3">
        <v>22</v>
      </c>
      <c r="O11" s="3">
        <v>1230</v>
      </c>
      <c r="P11" s="3">
        <v>31</v>
      </c>
      <c r="Q11" s="3">
        <v>2744</v>
      </c>
      <c r="R11" s="5">
        <f t="shared" si="0"/>
        <v>249</v>
      </c>
      <c r="S11" s="5">
        <f t="shared" si="1"/>
        <v>9372</v>
      </c>
      <c r="T11" s="40"/>
    </row>
    <row r="12" spans="1:21" x14ac:dyDescent="0.25">
      <c r="A12" s="3" t="s">
        <v>18</v>
      </c>
      <c r="B12" s="3"/>
      <c r="C12" s="3">
        <v>1403</v>
      </c>
      <c r="D12" s="3">
        <v>5307</v>
      </c>
      <c r="E12" s="3">
        <v>515</v>
      </c>
      <c r="F12" s="3">
        <v>1191</v>
      </c>
      <c r="G12" s="3">
        <v>18531</v>
      </c>
      <c r="H12" s="3">
        <v>1054</v>
      </c>
      <c r="I12" s="3">
        <v>26562</v>
      </c>
      <c r="J12" s="3">
        <v>798</v>
      </c>
      <c r="K12" s="3">
        <v>28060</v>
      </c>
      <c r="L12" s="3">
        <v>509</v>
      </c>
      <c r="M12" s="3">
        <v>23023</v>
      </c>
      <c r="N12" s="3">
        <f>323-63</f>
        <v>260</v>
      </c>
      <c r="O12" s="3">
        <v>17805</v>
      </c>
      <c r="P12" s="3">
        <v>627</v>
      </c>
      <c r="Q12" s="3">
        <v>56143</v>
      </c>
      <c r="R12" s="5">
        <f t="shared" si="0"/>
        <v>5327</v>
      </c>
      <c r="S12" s="5">
        <f t="shared" si="1"/>
        <v>175431</v>
      </c>
      <c r="T12" s="40">
        <f t="shared" si="2"/>
        <v>32.932419748451288</v>
      </c>
    </row>
    <row r="13" spans="1:21" x14ac:dyDescent="0.25">
      <c r="A13" s="3" t="s">
        <v>19</v>
      </c>
      <c r="B13" s="3"/>
      <c r="C13" s="3">
        <v>34</v>
      </c>
      <c r="D13" s="3">
        <v>6</v>
      </c>
      <c r="E13" s="126">
        <v>32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5">
        <f t="shared" si="0"/>
        <v>2</v>
      </c>
      <c r="S13" s="5">
        <f t="shared" si="1"/>
        <v>6</v>
      </c>
      <c r="T13" s="40">
        <f t="shared" si="2"/>
        <v>3</v>
      </c>
    </row>
    <row r="14" spans="1:21" x14ac:dyDescent="0.25">
      <c r="C14" s="5">
        <f t="shared" ref="C14:S14" si="3">SUM(C7:C13)</f>
        <v>13780</v>
      </c>
      <c r="D14" s="2">
        <f t="shared" si="3"/>
        <v>34611</v>
      </c>
      <c r="E14" s="22">
        <f t="shared" si="3"/>
        <v>7802</v>
      </c>
      <c r="F14" s="5">
        <f t="shared" si="3"/>
        <v>7601</v>
      </c>
      <c r="G14" s="2">
        <f t="shared" si="3"/>
        <v>117563</v>
      </c>
      <c r="H14" s="5">
        <f t="shared" si="3"/>
        <v>6557</v>
      </c>
      <c r="I14" s="2">
        <f t="shared" si="3"/>
        <v>149906</v>
      </c>
      <c r="J14" s="5">
        <f t="shared" si="3"/>
        <v>3132</v>
      </c>
      <c r="K14" s="2">
        <f t="shared" si="3"/>
        <v>134449</v>
      </c>
      <c r="L14" s="5">
        <f t="shared" si="3"/>
        <v>2443</v>
      </c>
      <c r="M14" s="2">
        <f t="shared" si="3"/>
        <v>110092</v>
      </c>
      <c r="N14" s="5">
        <f t="shared" si="3"/>
        <v>1400</v>
      </c>
      <c r="O14" s="2">
        <f t="shared" si="3"/>
        <v>80731</v>
      </c>
      <c r="P14" s="5">
        <f t="shared" si="3"/>
        <v>3041</v>
      </c>
      <c r="Q14" s="2">
        <f t="shared" si="3"/>
        <v>347570</v>
      </c>
      <c r="R14" s="6">
        <f t="shared" si="3"/>
        <v>30152</v>
      </c>
      <c r="S14" s="6">
        <f t="shared" si="3"/>
        <v>974922</v>
      </c>
      <c r="T14" s="40">
        <f t="shared" si="2"/>
        <v>32.333576545502787</v>
      </c>
    </row>
    <row r="15" spans="1:21" s="72" customFormat="1" x14ac:dyDescent="0.25"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4"/>
      <c r="S15" s="124"/>
      <c r="T15" s="125"/>
      <c r="U15" s="17"/>
    </row>
    <row r="16" spans="1:21" s="72" customFormat="1" x14ac:dyDescent="0.25">
      <c r="A16" s="64" t="s">
        <v>239</v>
      </c>
      <c r="C16" s="123"/>
      <c r="D16" s="123"/>
      <c r="E16" s="136">
        <f>+E8+E10+E13</f>
        <v>2255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4"/>
      <c r="S16" s="124"/>
      <c r="T16" s="125"/>
      <c r="U16" s="17"/>
    </row>
    <row r="17" spans="1:19" x14ac:dyDescent="0.25">
      <c r="A17" t="s">
        <v>204</v>
      </c>
      <c r="E17" s="137">
        <f>E14-E8-E10-E13</f>
        <v>5547</v>
      </c>
    </row>
    <row r="18" spans="1:19" x14ac:dyDescent="0.25">
      <c r="R18" t="s">
        <v>200</v>
      </c>
      <c r="S18" s="54">
        <f>S14/(P20-E14)</f>
        <v>32.333576545502787</v>
      </c>
    </row>
    <row r="19" spans="1:19" x14ac:dyDescent="0.25">
      <c r="D19">
        <v>1</v>
      </c>
      <c r="F19">
        <v>2</v>
      </c>
    </row>
    <row r="20" spans="1:19" x14ac:dyDescent="0.25">
      <c r="C20" s="368" t="s">
        <v>20</v>
      </c>
      <c r="D20" s="372"/>
      <c r="E20" s="369"/>
      <c r="F20" s="367" t="s">
        <v>21</v>
      </c>
      <c r="G20" s="367"/>
      <c r="H20" s="368" t="s">
        <v>9</v>
      </c>
      <c r="I20" s="369"/>
      <c r="O20" s="17" t="s">
        <v>197</v>
      </c>
      <c r="P20" s="119">
        <f>C14+F14+H14+J14+L14+N14+P14</f>
        <v>37954</v>
      </c>
      <c r="Q20" s="17"/>
      <c r="R20" s="17" t="s">
        <v>197</v>
      </c>
      <c r="S20" s="119">
        <v>37954</v>
      </c>
    </row>
    <row r="21" spans="1:19" x14ac:dyDescent="0.25">
      <c r="C21" s="370"/>
      <c r="D21" s="373"/>
      <c r="E21" s="371"/>
      <c r="F21" s="367"/>
      <c r="G21" s="367"/>
      <c r="H21" s="370"/>
      <c r="I21" s="371"/>
      <c r="O21" s="17" t="s">
        <v>198</v>
      </c>
      <c r="P21" s="119">
        <f>E14</f>
        <v>7802</v>
      </c>
      <c r="Q21" s="17"/>
      <c r="R21" s="17" t="s">
        <v>198</v>
      </c>
      <c r="S21" s="119">
        <f>E14-E8-E10-E13</f>
        <v>5547</v>
      </c>
    </row>
    <row r="22" spans="1:19" ht="30" x14ac:dyDescent="0.25">
      <c r="C22" s="3" t="s">
        <v>10</v>
      </c>
      <c r="D22" s="3" t="s">
        <v>11</v>
      </c>
      <c r="E22" s="23" t="s">
        <v>84</v>
      </c>
      <c r="F22" s="3" t="s">
        <v>10</v>
      </c>
      <c r="G22" s="3" t="s">
        <v>11</v>
      </c>
      <c r="H22" s="3" t="s">
        <v>12</v>
      </c>
      <c r="I22" s="3" t="s">
        <v>11</v>
      </c>
      <c r="J22" s="365" t="s">
        <v>28</v>
      </c>
      <c r="O22" s="17" t="s">
        <v>199</v>
      </c>
      <c r="P22" s="119">
        <f>P20-P21</f>
        <v>30152</v>
      </c>
      <c r="Q22" s="17"/>
      <c r="R22" s="17" t="s">
        <v>199</v>
      </c>
      <c r="S22" s="119">
        <f>S20-S21</f>
        <v>32407</v>
      </c>
    </row>
    <row r="23" spans="1:19" x14ac:dyDescent="0.25">
      <c r="C23" s="4"/>
      <c r="D23" s="4"/>
      <c r="E23" s="4"/>
      <c r="F23" s="4"/>
      <c r="G23" s="4"/>
      <c r="H23" s="3"/>
      <c r="I23" s="3"/>
      <c r="J23" s="366"/>
      <c r="O23" s="17"/>
      <c r="P23" s="17"/>
      <c r="Q23" s="17"/>
      <c r="R23" s="17"/>
      <c r="S23" s="17"/>
    </row>
    <row r="24" spans="1:19" x14ac:dyDescent="0.25">
      <c r="A24" s="3" t="s">
        <v>22</v>
      </c>
      <c r="B24" s="3"/>
      <c r="C24" s="3">
        <v>2648</v>
      </c>
      <c r="D24" s="3">
        <v>44897</v>
      </c>
      <c r="E24" s="25">
        <v>393</v>
      </c>
      <c r="F24" s="3">
        <v>1711</v>
      </c>
      <c r="G24" s="3">
        <v>170361</v>
      </c>
      <c r="H24" s="5">
        <f>C24+F24</f>
        <v>4359</v>
      </c>
      <c r="I24" s="5">
        <f>+D24+G24</f>
        <v>215258</v>
      </c>
      <c r="J24" s="41">
        <f>I24/(H24-E24)</f>
        <v>54.27584467977811</v>
      </c>
      <c r="O24" s="17" t="s">
        <v>200</v>
      </c>
      <c r="P24" s="15">
        <f>(D14+G14+I14+K14+M14+O14+Q14)/P22</f>
        <v>32.333576545502787</v>
      </c>
      <c r="Q24" s="17"/>
      <c r="R24" s="17" t="s">
        <v>200</v>
      </c>
      <c r="S24" s="15">
        <f>S14/S22</f>
        <v>30.083685623476409</v>
      </c>
    </row>
    <row r="25" spans="1:19" x14ac:dyDescent="0.25">
      <c r="A25" s="3" t="s">
        <v>23</v>
      </c>
      <c r="B25" s="3"/>
      <c r="C25" s="25">
        <v>70</v>
      </c>
      <c r="D25" s="3">
        <v>104</v>
      </c>
      <c r="E25" s="25">
        <f>+C25</f>
        <v>70</v>
      </c>
      <c r="F25" s="3">
        <v>3</v>
      </c>
      <c r="G25" s="3">
        <v>490</v>
      </c>
      <c r="H25" s="5">
        <f t="shared" ref="H25:H29" si="4">C25+F25</f>
        <v>73</v>
      </c>
      <c r="I25" s="5">
        <f t="shared" ref="I25:I29" si="5">+D25+G25</f>
        <v>594</v>
      </c>
      <c r="J25" s="41">
        <f t="shared" ref="J25:J30" si="6">I25/(H25-E25)</f>
        <v>198</v>
      </c>
    </row>
    <row r="26" spans="1:19" x14ac:dyDescent="0.25">
      <c r="A26" s="3" t="s">
        <v>24</v>
      </c>
      <c r="B26" s="3"/>
      <c r="C26" s="3">
        <v>803</v>
      </c>
      <c r="D26" s="3">
        <v>9871</v>
      </c>
      <c r="E26" s="25">
        <v>229</v>
      </c>
      <c r="F26" s="3">
        <v>290</v>
      </c>
      <c r="G26" s="3">
        <v>35774</v>
      </c>
      <c r="H26" s="5">
        <f t="shared" si="4"/>
        <v>1093</v>
      </c>
      <c r="I26" s="5">
        <f t="shared" si="5"/>
        <v>45645</v>
      </c>
      <c r="J26" s="41">
        <f t="shared" si="6"/>
        <v>52.829861111111114</v>
      </c>
    </row>
    <row r="27" spans="1:19" x14ac:dyDescent="0.25">
      <c r="A27" s="3" t="s">
        <v>25</v>
      </c>
      <c r="B27" s="3"/>
      <c r="C27" s="25">
        <v>20</v>
      </c>
      <c r="D27" s="3">
        <v>29</v>
      </c>
      <c r="E27" s="25">
        <f>+C27</f>
        <v>20</v>
      </c>
      <c r="F27" s="3">
        <v>2</v>
      </c>
      <c r="G27" s="3">
        <v>603</v>
      </c>
      <c r="H27" s="5">
        <f t="shared" si="4"/>
        <v>22</v>
      </c>
      <c r="I27" s="5">
        <f t="shared" si="5"/>
        <v>632</v>
      </c>
      <c r="J27" s="41">
        <f t="shared" si="6"/>
        <v>316</v>
      </c>
    </row>
    <row r="28" spans="1:19" x14ac:dyDescent="0.25">
      <c r="A28" s="3" t="s">
        <v>26</v>
      </c>
      <c r="B28" s="3"/>
      <c r="C28" s="3">
        <v>4</v>
      </c>
      <c r="D28" s="3">
        <v>49</v>
      </c>
      <c r="E28" s="25">
        <v>3</v>
      </c>
      <c r="F28" s="3">
        <v>4</v>
      </c>
      <c r="G28" s="3">
        <v>2690</v>
      </c>
      <c r="H28" s="5">
        <f t="shared" si="4"/>
        <v>8</v>
      </c>
      <c r="I28" s="5">
        <f t="shared" si="5"/>
        <v>2739</v>
      </c>
      <c r="J28" s="41">
        <f t="shared" si="6"/>
        <v>547.79999999999995</v>
      </c>
    </row>
    <row r="29" spans="1:19" x14ac:dyDescent="0.25">
      <c r="A29" s="3" t="s">
        <v>27</v>
      </c>
      <c r="B29" s="3"/>
      <c r="C29" s="3">
        <v>1</v>
      </c>
      <c r="D29" s="3">
        <v>9</v>
      </c>
      <c r="E29" s="3">
        <v>0</v>
      </c>
      <c r="F29" s="3">
        <v>0</v>
      </c>
      <c r="G29" s="3">
        <v>0</v>
      </c>
      <c r="H29" s="5">
        <f t="shared" si="4"/>
        <v>1</v>
      </c>
      <c r="I29" s="5">
        <f t="shared" si="5"/>
        <v>9</v>
      </c>
      <c r="J29" s="41">
        <f t="shared" si="6"/>
        <v>9</v>
      </c>
    </row>
    <row r="30" spans="1:19" x14ac:dyDescent="0.25">
      <c r="A30" s="3"/>
      <c r="B30" s="3"/>
      <c r="C30" s="3">
        <f t="shared" ref="C30:I30" si="7">SUM(C24:C29)</f>
        <v>3546</v>
      </c>
      <c r="D30" s="3">
        <f t="shared" si="7"/>
        <v>54959</v>
      </c>
      <c r="E30" s="24">
        <f t="shared" si="7"/>
        <v>715</v>
      </c>
      <c r="F30" s="3">
        <f t="shared" si="7"/>
        <v>2010</v>
      </c>
      <c r="G30" s="3">
        <f t="shared" si="7"/>
        <v>209918</v>
      </c>
      <c r="H30" s="5">
        <f t="shared" si="7"/>
        <v>5556</v>
      </c>
      <c r="I30" s="5">
        <f t="shared" si="7"/>
        <v>264877</v>
      </c>
      <c r="J30" s="41">
        <f t="shared" si="6"/>
        <v>54.715348068580873</v>
      </c>
    </row>
    <row r="32" spans="1:19" x14ac:dyDescent="0.25">
      <c r="A32" t="s">
        <v>239</v>
      </c>
      <c r="E32" s="127">
        <f>+C25+C27</f>
        <v>90</v>
      </c>
      <c r="I32">
        <f>I30/(H30-E30)</f>
        <v>54.715348068580873</v>
      </c>
      <c r="K32" s="7"/>
    </row>
    <row r="33" spans="1:18" x14ac:dyDescent="0.25">
      <c r="A33" t="s">
        <v>204</v>
      </c>
      <c r="E33" s="128">
        <f>+E24+E26+E28</f>
        <v>625</v>
      </c>
      <c r="K33" s="7"/>
    </row>
    <row r="34" spans="1:18" x14ac:dyDescent="0.25">
      <c r="A34" t="s">
        <v>205</v>
      </c>
      <c r="E34" s="137">
        <f>E33+E17</f>
        <v>6172</v>
      </c>
    </row>
    <row r="35" spans="1:18" x14ac:dyDescent="0.25">
      <c r="E35" s="117"/>
    </row>
    <row r="36" spans="1:18" x14ac:dyDescent="0.25">
      <c r="A36" s="20" t="s">
        <v>74</v>
      </c>
      <c r="B36" s="20"/>
      <c r="C36" s="20">
        <f>+C27+C25+C8</f>
        <v>2315</v>
      </c>
      <c r="D36" s="19"/>
      <c r="E36" s="138">
        <f>+E33+E32+E17+E16</f>
        <v>8517</v>
      </c>
      <c r="F36" s="7"/>
    </row>
    <row r="37" spans="1:18" x14ac:dyDescent="0.25">
      <c r="A37" t="s">
        <v>246</v>
      </c>
      <c r="E37" s="139">
        <f>+E32+E16</f>
        <v>2345</v>
      </c>
      <c r="F37" s="7"/>
    </row>
    <row r="38" spans="1:18" x14ac:dyDescent="0.25">
      <c r="A38" t="s">
        <v>237</v>
      </c>
    </row>
    <row r="39" spans="1:18" x14ac:dyDescent="0.25">
      <c r="R39" s="7"/>
    </row>
    <row r="41" spans="1:18" ht="15.75" customHeight="1" x14ac:dyDescent="0.25">
      <c r="A41" s="364" t="s">
        <v>245</v>
      </c>
      <c r="B41" s="364"/>
    </row>
    <row r="42" spans="1:18" ht="15" customHeight="1" x14ac:dyDescent="0.25">
      <c r="A42" s="364"/>
      <c r="B42" s="364"/>
      <c r="D42" s="7"/>
    </row>
    <row r="43" spans="1:18" x14ac:dyDescent="0.25">
      <c r="A43" s="129" t="s">
        <v>240</v>
      </c>
      <c r="B43" s="134">
        <f>+E14</f>
        <v>7802</v>
      </c>
    </row>
    <row r="44" spans="1:18" x14ac:dyDescent="0.25">
      <c r="A44" s="129" t="s">
        <v>241</v>
      </c>
      <c r="B44" s="134">
        <f>+E24+E25</f>
        <v>463</v>
      </c>
      <c r="D44" s="7"/>
    </row>
    <row r="45" spans="1:18" x14ac:dyDescent="0.25">
      <c r="A45" s="129" t="s">
        <v>242</v>
      </c>
      <c r="B45" s="134">
        <f>+E26+E27+E28</f>
        <v>252</v>
      </c>
    </row>
    <row r="46" spans="1:18" s="72" customFormat="1" x14ac:dyDescent="0.25">
      <c r="A46" s="129"/>
      <c r="B46" s="134"/>
    </row>
    <row r="47" spans="1:18" x14ac:dyDescent="0.25">
      <c r="A47" s="133" t="s">
        <v>45</v>
      </c>
      <c r="B47" s="135">
        <f>+B45+B44+B43</f>
        <v>8517</v>
      </c>
    </row>
    <row r="48" spans="1:18" x14ac:dyDescent="0.25">
      <c r="A48" s="131" t="s">
        <v>243</v>
      </c>
      <c r="B48" s="130"/>
    </row>
    <row r="49" spans="1:2" x14ac:dyDescent="0.25">
      <c r="A49" s="131" t="s">
        <v>244</v>
      </c>
      <c r="B49" s="132"/>
    </row>
    <row r="50" spans="1:2" x14ac:dyDescent="0.25">
      <c r="B50" s="132"/>
    </row>
    <row r="51" spans="1:2" x14ac:dyDescent="0.25">
      <c r="A51" s="364" t="s">
        <v>247</v>
      </c>
      <c r="B51" s="364"/>
    </row>
    <row r="52" spans="1:2" x14ac:dyDescent="0.25">
      <c r="A52" s="364"/>
      <c r="B52" s="364"/>
    </row>
    <row r="53" spans="1:2" x14ac:dyDescent="0.25">
      <c r="A53" s="129" t="s">
        <v>240</v>
      </c>
      <c r="B53" s="134">
        <f>+E17</f>
        <v>5547</v>
      </c>
    </row>
    <row r="54" spans="1:2" x14ac:dyDescent="0.25">
      <c r="A54" s="129" t="s">
        <v>248</v>
      </c>
      <c r="B54" s="134">
        <f>+E33</f>
        <v>625</v>
      </c>
    </row>
    <row r="55" spans="1:2" x14ac:dyDescent="0.25">
      <c r="A55" s="129"/>
      <c r="B55" s="134"/>
    </row>
    <row r="56" spans="1:2" x14ac:dyDescent="0.25">
      <c r="A56" s="133" t="s">
        <v>45</v>
      </c>
      <c r="B56" s="135">
        <f>+B54+B53</f>
        <v>6172</v>
      </c>
    </row>
    <row r="57" spans="1:2" x14ac:dyDescent="0.25">
      <c r="A57" s="131" t="s">
        <v>243</v>
      </c>
      <c r="B57" s="130"/>
    </row>
    <row r="58" spans="1:2" x14ac:dyDescent="0.25">
      <c r="A58" s="131" t="s">
        <v>244</v>
      </c>
      <c r="B58" s="132"/>
    </row>
  </sheetData>
  <mergeCells count="16">
    <mergeCell ref="A41:B42"/>
    <mergeCell ref="A51:B52"/>
    <mergeCell ref="J22:J23"/>
    <mergeCell ref="T3:T4"/>
    <mergeCell ref="A1:T1"/>
    <mergeCell ref="P3:Q4"/>
    <mergeCell ref="R3:S4"/>
    <mergeCell ref="C20:E21"/>
    <mergeCell ref="F20:G21"/>
    <mergeCell ref="H20:I21"/>
    <mergeCell ref="C3:E4"/>
    <mergeCell ref="F3:G4"/>
    <mergeCell ref="H3:I4"/>
    <mergeCell ref="J3:K4"/>
    <mergeCell ref="L3:M4"/>
    <mergeCell ref="N3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O94"/>
  <sheetViews>
    <sheetView topLeftCell="A19" workbookViewId="0">
      <selection activeCell="E25" sqref="E25"/>
    </sheetView>
  </sheetViews>
  <sheetFormatPr baseColWidth="10" defaultColWidth="11.42578125" defaultRowHeight="15" x14ac:dyDescent="0.25"/>
  <cols>
    <col min="1" max="1" width="60.7109375" customWidth="1"/>
    <col min="2" max="2" width="13.5703125" bestFit="1" customWidth="1"/>
    <col min="3" max="3" width="12.5703125" bestFit="1" customWidth="1"/>
    <col min="6" max="7" width="12.5703125" bestFit="1" customWidth="1"/>
    <col min="8" max="8" width="13.7109375" customWidth="1"/>
    <col min="9" max="14" width="12.5703125" bestFit="1" customWidth="1"/>
  </cols>
  <sheetData>
    <row r="2" spans="1:5" ht="18.75" x14ac:dyDescent="0.3">
      <c r="A2" s="362" t="s">
        <v>95</v>
      </c>
      <c r="B2" s="362"/>
      <c r="C2" s="362"/>
      <c r="D2" s="362"/>
      <c r="E2" s="362"/>
    </row>
    <row r="3" spans="1:5" x14ac:dyDescent="0.25">
      <c r="A3" s="130"/>
      <c r="B3" s="130"/>
      <c r="C3" s="130"/>
      <c r="D3" s="130"/>
      <c r="E3" s="130"/>
    </row>
    <row r="4" spans="1:5" x14ac:dyDescent="0.25">
      <c r="A4" s="140" t="s">
        <v>56</v>
      </c>
      <c r="B4" s="141">
        <v>43568</v>
      </c>
      <c r="C4" s="129" t="s">
        <v>60</v>
      </c>
      <c r="D4" s="130"/>
      <c r="E4" s="130"/>
    </row>
    <row r="5" spans="1:5" x14ac:dyDescent="0.25">
      <c r="A5" s="142" t="s">
        <v>57</v>
      </c>
      <c r="B5" s="141">
        <f>+B24</f>
        <v>52879.351679324303</v>
      </c>
      <c r="C5" s="129" t="s">
        <v>63</v>
      </c>
      <c r="D5" s="130"/>
      <c r="E5" s="130"/>
    </row>
    <row r="6" spans="1:5" x14ac:dyDescent="0.25">
      <c r="A6" s="142" t="s">
        <v>54</v>
      </c>
      <c r="B6" s="143">
        <f>+B5-B4</f>
        <v>9311.3516793243034</v>
      </c>
      <c r="C6" s="129"/>
      <c r="D6" s="130"/>
      <c r="E6" s="130"/>
    </row>
    <row r="7" spans="1:5" x14ac:dyDescent="0.25">
      <c r="B7" s="8"/>
    </row>
    <row r="8" spans="1:5" x14ac:dyDescent="0.25">
      <c r="A8" s="60" t="s">
        <v>58</v>
      </c>
      <c r="B8" s="53"/>
      <c r="C8" s="53"/>
    </row>
    <row r="9" spans="1:5" x14ac:dyDescent="0.25">
      <c r="A9" s="53" t="s">
        <v>37</v>
      </c>
      <c r="B9" s="2">
        <v>264048</v>
      </c>
      <c r="C9" s="53" t="s">
        <v>53</v>
      </c>
    </row>
    <row r="10" spans="1:5" x14ac:dyDescent="0.25">
      <c r="A10" s="53" t="s">
        <v>52</v>
      </c>
      <c r="B10" s="2">
        <f>+B9/3.78</f>
        <v>69853.968253968254</v>
      </c>
      <c r="C10" s="53"/>
    </row>
    <row r="11" spans="1:5" x14ac:dyDescent="0.25">
      <c r="A11" s="53" t="s">
        <v>38</v>
      </c>
      <c r="B11" s="2">
        <v>183318</v>
      </c>
      <c r="C11" s="53" t="s">
        <v>53</v>
      </c>
    </row>
    <row r="12" spans="1:5" x14ac:dyDescent="0.25">
      <c r="A12" s="53" t="s">
        <v>39</v>
      </c>
      <c r="B12" s="2">
        <f>+B9-B11</f>
        <v>80730</v>
      </c>
      <c r="C12" s="53"/>
    </row>
    <row r="13" spans="1:5" x14ac:dyDescent="0.25">
      <c r="A13" s="53" t="s">
        <v>35</v>
      </c>
      <c r="B13" s="46">
        <f>+B11/B9</f>
        <v>0.69426013452099622</v>
      </c>
      <c r="C13" s="53" t="s">
        <v>53</v>
      </c>
    </row>
    <row r="14" spans="1:5" x14ac:dyDescent="0.25">
      <c r="A14" s="53" t="s">
        <v>36</v>
      </c>
      <c r="B14" s="88">
        <f>1-B13</f>
        <v>0.30573986547900378</v>
      </c>
      <c r="C14" s="53"/>
    </row>
    <row r="15" spans="1:5" x14ac:dyDescent="0.25">
      <c r="A15" s="53" t="s">
        <v>59</v>
      </c>
      <c r="B15" s="2">
        <f>+B11/3.78</f>
        <v>48496.825396825399</v>
      </c>
      <c r="C15" s="53"/>
    </row>
    <row r="16" spans="1:5" x14ac:dyDescent="0.25">
      <c r="B16" s="8"/>
    </row>
    <row r="17" spans="1:4" x14ac:dyDescent="0.25">
      <c r="A17" s="42" t="s">
        <v>61</v>
      </c>
      <c r="B17" s="70">
        <v>293785</v>
      </c>
    </row>
    <row r="18" spans="1:4" x14ac:dyDescent="0.25">
      <c r="A18" s="53" t="s">
        <v>49</v>
      </c>
      <c r="B18" s="2">
        <f>+B17/3.78</f>
        <v>77720.899470899472</v>
      </c>
    </row>
    <row r="19" spans="1:4" x14ac:dyDescent="0.25">
      <c r="A19" s="53" t="s">
        <v>222</v>
      </c>
      <c r="B19" s="2">
        <f>+B17*B21</f>
        <v>203963.21362025087</v>
      </c>
    </row>
    <row r="20" spans="1:4" x14ac:dyDescent="0.25">
      <c r="A20" s="53" t="s">
        <v>39</v>
      </c>
      <c r="B20" s="2">
        <v>98985</v>
      </c>
    </row>
    <row r="21" spans="1:4" x14ac:dyDescent="0.25">
      <c r="A21" s="53" t="s">
        <v>35</v>
      </c>
      <c r="B21" s="46">
        <f>+B13</f>
        <v>0.69426013452099622</v>
      </c>
    </row>
    <row r="22" spans="1:4" x14ac:dyDescent="0.25">
      <c r="A22" s="53" t="s">
        <v>36</v>
      </c>
      <c r="B22" s="88">
        <f>1-B21</f>
        <v>0.30573986547900378</v>
      </c>
    </row>
    <row r="23" spans="1:4" x14ac:dyDescent="0.25">
      <c r="A23" s="53" t="s">
        <v>50</v>
      </c>
      <c r="B23" s="2">
        <f>+B19/3.78</f>
        <v>53958.522121759495</v>
      </c>
    </row>
    <row r="24" spans="1:4" x14ac:dyDescent="0.25">
      <c r="A24" s="53" t="s">
        <v>62</v>
      </c>
      <c r="B24" s="89">
        <f>+B23*0.98</f>
        <v>52879.351679324303</v>
      </c>
    </row>
    <row r="25" spans="1:4" x14ac:dyDescent="0.25">
      <c r="A25" s="53"/>
      <c r="B25" s="53"/>
    </row>
    <row r="26" spans="1:4" x14ac:dyDescent="0.25">
      <c r="A26" s="60" t="s">
        <v>64</v>
      </c>
      <c r="B26" s="53"/>
      <c r="D26" s="10"/>
    </row>
    <row r="27" spans="1:4" x14ac:dyDescent="0.25">
      <c r="A27" s="43" t="s">
        <v>65</v>
      </c>
      <c r="B27" s="90">
        <v>9312</v>
      </c>
    </row>
    <row r="28" spans="1:4" x14ac:dyDescent="0.25">
      <c r="A28" s="53" t="s">
        <v>51</v>
      </c>
      <c r="B28" s="57">
        <v>2690</v>
      </c>
      <c r="C28" s="15"/>
    </row>
    <row r="29" spans="1:4" x14ac:dyDescent="0.25">
      <c r="A29" s="53" t="s">
        <v>66</v>
      </c>
      <c r="B29" s="90">
        <f>+B27-B28</f>
        <v>6622</v>
      </c>
    </row>
    <row r="30" spans="1:4" x14ac:dyDescent="0.25">
      <c r="A30" s="53" t="s">
        <v>201</v>
      </c>
      <c r="B30" s="90">
        <f>B27</f>
        <v>9312</v>
      </c>
    </row>
    <row r="31" spans="1:4" x14ac:dyDescent="0.25">
      <c r="C31" s="8"/>
    </row>
    <row r="32" spans="1:4" x14ac:dyDescent="0.25">
      <c r="A32" s="42" t="s">
        <v>67</v>
      </c>
      <c r="B32" s="53"/>
    </row>
    <row r="33" spans="1:15" x14ac:dyDescent="0.25">
      <c r="A33" s="53" t="s">
        <v>66</v>
      </c>
      <c r="B33" s="12">
        <f>+B29</f>
        <v>6622</v>
      </c>
      <c r="C33" s="7"/>
      <c r="G33" s="8"/>
    </row>
    <row r="34" spans="1:15" x14ac:dyDescent="0.25">
      <c r="A34" s="53" t="s">
        <v>55</v>
      </c>
      <c r="B34" s="2">
        <v>280</v>
      </c>
      <c r="C34" s="7"/>
      <c r="D34" s="7"/>
    </row>
    <row r="35" spans="1:15" x14ac:dyDescent="0.25">
      <c r="A35" s="53" t="s">
        <v>223</v>
      </c>
      <c r="B35" s="69">
        <f>+B34*B33</f>
        <v>1854160</v>
      </c>
      <c r="C35" s="7"/>
    </row>
    <row r="38" spans="1:15" x14ac:dyDescent="0.25">
      <c r="A38" s="60" t="s">
        <v>68</v>
      </c>
      <c r="B38" s="53"/>
      <c r="C38" s="53"/>
      <c r="D38" s="53"/>
      <c r="E38" s="53"/>
    </row>
    <row r="39" spans="1:15" x14ac:dyDescent="0.25">
      <c r="A39" s="53"/>
      <c r="B39" s="53"/>
      <c r="C39" s="53"/>
      <c r="D39" s="53"/>
      <c r="E39" s="53"/>
      <c r="I39" s="7"/>
    </row>
    <row r="40" spans="1:15" x14ac:dyDescent="0.25">
      <c r="A40" s="53" t="s">
        <v>153</v>
      </c>
      <c r="B40" s="53" t="s">
        <v>70</v>
      </c>
      <c r="C40" s="53"/>
      <c r="D40" s="53" t="s">
        <v>154</v>
      </c>
      <c r="E40" s="53"/>
    </row>
    <row r="41" spans="1:15" x14ac:dyDescent="0.25">
      <c r="A41" s="53" t="s">
        <v>13</v>
      </c>
      <c r="B41" s="12">
        <f>'Incremento facturación cero'!B23</f>
        <v>32.333576545502787</v>
      </c>
      <c r="C41" s="53" t="s">
        <v>31</v>
      </c>
      <c r="D41" s="12">
        <f>'Incremento facturación cero'!B29</f>
        <v>11.618479954895196</v>
      </c>
      <c r="E41" s="53" t="s">
        <v>151</v>
      </c>
    </row>
    <row r="42" spans="1:15" x14ac:dyDescent="0.25">
      <c r="A42" s="53" t="s">
        <v>155</v>
      </c>
      <c r="B42" s="12">
        <f>'Incremento facturación cero'!B32</f>
        <v>54.715348068580873</v>
      </c>
      <c r="C42" s="53" t="s">
        <v>31</v>
      </c>
      <c r="D42" s="12">
        <f>'Incremento facturación cero'!B35</f>
        <v>36.397884941127863</v>
      </c>
      <c r="E42" s="53" t="s">
        <v>151</v>
      </c>
    </row>
    <row r="45" spans="1:15" x14ac:dyDescent="0.25">
      <c r="A45" s="91" t="s">
        <v>69</v>
      </c>
      <c r="B45" s="24"/>
      <c r="C45" s="91">
        <v>2020</v>
      </c>
      <c r="D45" s="91">
        <v>2021</v>
      </c>
      <c r="E45" s="91">
        <v>2022</v>
      </c>
      <c r="F45" s="91">
        <v>2023</v>
      </c>
      <c r="G45" s="91">
        <v>2024</v>
      </c>
      <c r="H45" s="91">
        <v>2025</v>
      </c>
      <c r="I45" s="91">
        <v>2026</v>
      </c>
      <c r="J45" s="91">
        <v>2027</v>
      </c>
      <c r="K45" s="91">
        <v>2028</v>
      </c>
      <c r="L45" s="91">
        <v>2029</v>
      </c>
      <c r="M45" s="91">
        <v>2030</v>
      </c>
      <c r="N45" s="91" t="s">
        <v>45</v>
      </c>
    </row>
    <row r="46" spans="1:15" x14ac:dyDescent="0.25">
      <c r="B46" s="8"/>
      <c r="C46" s="92"/>
      <c r="D46" s="92"/>
      <c r="E46" s="92"/>
      <c r="F46" s="92"/>
      <c r="G46" s="92"/>
      <c r="H46" s="92"/>
      <c r="I46" s="92"/>
      <c r="J46" s="92"/>
      <c r="K46" s="92"/>
      <c r="L46" s="93">
        <v>556</v>
      </c>
      <c r="M46" s="93">
        <v>545</v>
      </c>
      <c r="N46" s="92"/>
    </row>
    <row r="47" spans="1:15" x14ac:dyDescent="0.25">
      <c r="A47" s="53" t="s">
        <v>207</v>
      </c>
      <c r="B47" s="57">
        <f>+B30</f>
        <v>9312</v>
      </c>
      <c r="C47" s="57">
        <f>+B28</f>
        <v>2690</v>
      </c>
      <c r="D47" s="94">
        <v>1269</v>
      </c>
      <c r="E47" s="94">
        <v>643</v>
      </c>
      <c r="F47" s="94">
        <v>631</v>
      </c>
      <c r="G47" s="94">
        <v>619</v>
      </c>
      <c r="H47" s="94">
        <v>606</v>
      </c>
      <c r="I47" s="94">
        <v>597</v>
      </c>
      <c r="J47" s="94">
        <v>583</v>
      </c>
      <c r="K47" s="94">
        <v>573</v>
      </c>
      <c r="L47" s="94">
        <f>SUM(L46:M46)</f>
        <v>1101</v>
      </c>
      <c r="M47" s="94"/>
      <c r="N47" s="57">
        <f>SUM(C47:M47)</f>
        <v>9312</v>
      </c>
      <c r="O47" s="53"/>
    </row>
    <row r="48" spans="1:15" x14ac:dyDescent="0.25">
      <c r="A48" s="53" t="s">
        <v>48</v>
      </c>
      <c r="B48" s="57"/>
      <c r="C48" s="57">
        <f>C47</f>
        <v>2690</v>
      </c>
      <c r="D48" s="94">
        <f>+C48+D47</f>
        <v>3959</v>
      </c>
      <c r="E48" s="94">
        <f t="shared" ref="E48:M48" si="0">+D48+E47</f>
        <v>4602</v>
      </c>
      <c r="F48" s="94">
        <f t="shared" si="0"/>
        <v>5233</v>
      </c>
      <c r="G48" s="94">
        <f t="shared" si="0"/>
        <v>5852</v>
      </c>
      <c r="H48" s="94">
        <f t="shared" si="0"/>
        <v>6458</v>
      </c>
      <c r="I48" s="94">
        <f t="shared" si="0"/>
        <v>7055</v>
      </c>
      <c r="J48" s="94">
        <f t="shared" si="0"/>
        <v>7638</v>
      </c>
      <c r="K48" s="94">
        <f t="shared" si="0"/>
        <v>8211</v>
      </c>
      <c r="L48" s="94">
        <f t="shared" si="0"/>
        <v>9312</v>
      </c>
      <c r="M48" s="94">
        <f t="shared" si="0"/>
        <v>9312</v>
      </c>
      <c r="N48" s="57"/>
      <c r="O48" s="53"/>
    </row>
    <row r="49" spans="1:15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  <row r="50" spans="1:15" x14ac:dyDescent="0.25">
      <c r="A50" s="53" t="s">
        <v>186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</row>
    <row r="51" spans="1:15" x14ac:dyDescent="0.25">
      <c r="A51" s="53" t="s">
        <v>46</v>
      </c>
      <c r="B51" s="47">
        <v>0.86890000000000001</v>
      </c>
      <c r="C51" s="12"/>
      <c r="D51" s="12">
        <f>C48*$B$51*$D$41*12</f>
        <v>325876.19467505632</v>
      </c>
      <c r="E51" s="12">
        <f t="shared" ref="E51:M51" si="1">D48*$B$51*$D$41*12</f>
        <v>479607.38093626325</v>
      </c>
      <c r="F51" s="12">
        <f t="shared" si="1"/>
        <v>557502.69438461307</v>
      </c>
      <c r="G51" s="12">
        <f t="shared" si="1"/>
        <v>633944.28503143857</v>
      </c>
      <c r="H51" s="12">
        <f t="shared" si="1"/>
        <v>708932.15287673962</v>
      </c>
      <c r="I51" s="12">
        <f t="shared" si="1"/>
        <v>782345.15435372258</v>
      </c>
      <c r="J51" s="12">
        <f t="shared" si="1"/>
        <v>854667.86372956226</v>
      </c>
      <c r="K51" s="12">
        <f t="shared" si="1"/>
        <v>925294.56317029009</v>
      </c>
      <c r="L51" s="12">
        <f t="shared" si="1"/>
        <v>994709.82694308087</v>
      </c>
      <c r="M51" s="12">
        <f t="shared" si="1"/>
        <v>1128088.8939829459</v>
      </c>
      <c r="N51" s="53"/>
      <c r="O51" s="53"/>
    </row>
    <row r="52" spans="1:15" x14ac:dyDescent="0.25">
      <c r="A52" s="53"/>
      <c r="B52" s="47"/>
      <c r="C52" s="53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53"/>
      <c r="O52" s="53"/>
    </row>
    <row r="53" spans="1:15" x14ac:dyDescent="0.25">
      <c r="A53" s="53" t="s">
        <v>156</v>
      </c>
      <c r="B53" s="47">
        <f>1-B51</f>
        <v>0.13109999999999999</v>
      </c>
      <c r="C53" s="12"/>
      <c r="D53" s="12">
        <f>$D$42*C48*$B$53*12</f>
        <v>154032.50046543853</v>
      </c>
      <c r="E53" s="12">
        <f t="shared" ref="E53:M53" si="2">$D$42*D48*$B$53*12</f>
        <v>226696.90310136473</v>
      </c>
      <c r="F53" s="12">
        <f t="shared" si="2"/>
        <v>263515.82421633758</v>
      </c>
      <c r="G53" s="12">
        <f t="shared" si="2"/>
        <v>299647.61150023784</v>
      </c>
      <c r="H53" s="12">
        <f t="shared" si="2"/>
        <v>335092.26495306555</v>
      </c>
      <c r="I53" s="12">
        <f t="shared" si="2"/>
        <v>369792.52342223126</v>
      </c>
      <c r="J53" s="12">
        <f t="shared" si="2"/>
        <v>403977.43151809252</v>
      </c>
      <c r="K53" s="12">
        <f t="shared" si="2"/>
        <v>437360.68347770238</v>
      </c>
      <c r="L53" s="12">
        <f t="shared" si="2"/>
        <v>470171.32391141844</v>
      </c>
      <c r="M53" s="12">
        <f t="shared" si="2"/>
        <v>533215.85291232844</v>
      </c>
      <c r="N53" s="53"/>
      <c r="O53" s="53"/>
    </row>
    <row r="54" spans="1:15" x14ac:dyDescent="0.25">
      <c r="A54" s="53" t="s">
        <v>185</v>
      </c>
      <c r="B54" s="47"/>
      <c r="C54" s="2"/>
      <c r="D54" s="12">
        <f>3.05*1.7*C48*12</f>
        <v>167371.79999999999</v>
      </c>
      <c r="E54" s="12">
        <f t="shared" ref="E54:M54" si="3">3.05*1.7*D48*12</f>
        <v>246328.97999999998</v>
      </c>
      <c r="F54" s="12">
        <f t="shared" si="3"/>
        <v>286336.44</v>
      </c>
      <c r="G54" s="12">
        <f t="shared" si="3"/>
        <v>325597.26</v>
      </c>
      <c r="H54" s="12">
        <f t="shared" si="3"/>
        <v>364111.44</v>
      </c>
      <c r="I54" s="12">
        <f t="shared" si="3"/>
        <v>401816.75999999995</v>
      </c>
      <c r="J54" s="12">
        <f t="shared" si="3"/>
        <v>438962.1</v>
      </c>
      <c r="K54" s="12">
        <f t="shared" si="3"/>
        <v>475236.36</v>
      </c>
      <c r="L54" s="12">
        <f t="shared" si="3"/>
        <v>510888.41999999993</v>
      </c>
      <c r="M54" s="12">
        <f t="shared" si="3"/>
        <v>579392.6399999999</v>
      </c>
      <c r="N54" s="53"/>
      <c r="O54" s="53"/>
    </row>
    <row r="55" spans="1:15" x14ac:dyDescent="0.25">
      <c r="A55" s="53" t="s">
        <v>160</v>
      </c>
      <c r="B55" s="47"/>
      <c r="C55" s="12"/>
      <c r="D55" s="12">
        <f>+D51+D53+D54</f>
        <v>647280.49514049478</v>
      </c>
      <c r="E55" s="12">
        <f t="shared" ref="E55:M55" si="4">+E51+E53+E54</f>
        <v>952633.26403762796</v>
      </c>
      <c r="F55" s="12">
        <f t="shared" si="4"/>
        <v>1107354.9586009507</v>
      </c>
      <c r="G55" s="12">
        <f t="shared" si="4"/>
        <v>1259189.1565316764</v>
      </c>
      <c r="H55" s="12">
        <f t="shared" si="4"/>
        <v>1408135.8578298052</v>
      </c>
      <c r="I55" s="12">
        <f t="shared" si="4"/>
        <v>1553954.4377759539</v>
      </c>
      <c r="J55" s="12">
        <f t="shared" si="4"/>
        <v>1697607.395247655</v>
      </c>
      <c r="K55" s="12">
        <f t="shared" si="4"/>
        <v>1837891.6066479925</v>
      </c>
      <c r="L55" s="12">
        <f t="shared" si="4"/>
        <v>1975769.5708544992</v>
      </c>
      <c r="M55" s="12">
        <f t="shared" si="4"/>
        <v>2240697.3868952743</v>
      </c>
      <c r="N55" s="53"/>
      <c r="O55" s="53"/>
    </row>
    <row r="56" spans="1:15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7" spans="1:15" x14ac:dyDescent="0.25">
      <c r="A57" s="42" t="s">
        <v>72</v>
      </c>
      <c r="B57" s="6">
        <f>SUM(C55:M55)</f>
        <v>14680514.129561931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53"/>
    </row>
    <row r="58" spans="1:15" x14ac:dyDescent="0.25">
      <c r="A58" s="53"/>
      <c r="B58" s="1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</row>
    <row r="59" spans="1:15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</row>
    <row r="60" spans="1:15" x14ac:dyDescent="0.25">
      <c r="A60" s="53" t="s">
        <v>40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2"/>
      <c r="O60" s="53"/>
    </row>
    <row r="61" spans="1:15" x14ac:dyDescent="0.25">
      <c r="A61" s="53" t="s">
        <v>41</v>
      </c>
      <c r="B61" s="67">
        <f>+B34</f>
        <v>280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15" x14ac:dyDescent="0.25">
      <c r="A62" s="53" t="s">
        <v>42</v>
      </c>
      <c r="B62" s="46">
        <v>1.4999999999999999E-2</v>
      </c>
      <c r="C62" s="53"/>
      <c r="D62" s="2"/>
      <c r="E62" s="2"/>
      <c r="F62" s="2"/>
      <c r="G62" s="2"/>
      <c r="H62" s="2"/>
      <c r="I62" s="2"/>
      <c r="J62" s="2"/>
      <c r="K62" s="2"/>
      <c r="L62" s="2"/>
      <c r="M62" s="2"/>
      <c r="N62" s="53"/>
      <c r="O62" s="53"/>
    </row>
    <row r="63" spans="1:15" x14ac:dyDescent="0.25">
      <c r="A63" s="53" t="s">
        <v>73</v>
      </c>
      <c r="B63" s="53"/>
      <c r="C63" s="68">
        <f>+B61*(1+$B$62)</f>
        <v>284.2</v>
      </c>
      <c r="D63" s="68">
        <f>+C63*(1+$B$62)</f>
        <v>288.46299999999997</v>
      </c>
      <c r="E63" s="68">
        <f t="shared" ref="E63:M63" si="5">+D63*(1+$B$62)</f>
        <v>292.78994499999993</v>
      </c>
      <c r="F63" s="68">
        <f t="shared" si="5"/>
        <v>297.18179417499988</v>
      </c>
      <c r="G63" s="68">
        <f t="shared" si="5"/>
        <v>301.63952108762487</v>
      </c>
      <c r="H63" s="68">
        <f t="shared" si="5"/>
        <v>306.16411390393921</v>
      </c>
      <c r="I63" s="68">
        <f t="shared" si="5"/>
        <v>310.7565756124983</v>
      </c>
      <c r="J63" s="68">
        <f t="shared" si="5"/>
        <v>315.41792424668574</v>
      </c>
      <c r="K63" s="68">
        <f t="shared" si="5"/>
        <v>320.14919311038602</v>
      </c>
      <c r="L63" s="68">
        <f t="shared" si="5"/>
        <v>324.95143100704178</v>
      </c>
      <c r="M63" s="68">
        <f t="shared" si="5"/>
        <v>329.82570247214738</v>
      </c>
      <c r="N63" s="53"/>
      <c r="O63" s="53"/>
    </row>
    <row r="64" spans="1:15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x14ac:dyDescent="0.25">
      <c r="A65" s="42" t="s">
        <v>71</v>
      </c>
      <c r="B65" s="53"/>
      <c r="C65" s="2">
        <f t="shared" ref="C65:L65" si="6">+D63*D47</f>
        <v>366059.54699999996</v>
      </c>
      <c r="D65" s="2">
        <f t="shared" si="6"/>
        <v>188263.93463499995</v>
      </c>
      <c r="E65" s="2">
        <f t="shared" si="6"/>
        <v>187521.71212442493</v>
      </c>
      <c r="F65" s="2">
        <f t="shared" si="6"/>
        <v>186714.86355323979</v>
      </c>
      <c r="G65" s="2">
        <f t="shared" si="6"/>
        <v>185535.45302578717</v>
      </c>
      <c r="H65" s="2">
        <f t="shared" si="6"/>
        <v>185521.67564066147</v>
      </c>
      <c r="I65" s="2">
        <f t="shared" si="6"/>
        <v>183888.64983581778</v>
      </c>
      <c r="J65" s="2">
        <f t="shared" si="6"/>
        <v>183445.48765225118</v>
      </c>
      <c r="K65" s="2">
        <f t="shared" si="6"/>
        <v>357771.52553875302</v>
      </c>
      <c r="L65" s="2">
        <f t="shared" si="6"/>
        <v>0</v>
      </c>
      <c r="M65" s="53"/>
      <c r="N65" s="69">
        <f>SUM(C65:L65)</f>
        <v>2024722.8490059352</v>
      </c>
      <c r="O65" s="53"/>
    </row>
    <row r="66" spans="1:15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x14ac:dyDescent="0.25">
      <c r="A67" s="42" t="s">
        <v>224</v>
      </c>
      <c r="B67" s="69">
        <f>+N65</f>
        <v>2024722.8490059352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71" spans="1:15" x14ac:dyDescent="0.25">
      <c r="G71" s="164"/>
    </row>
    <row r="92" spans="6:8" x14ac:dyDescent="0.25">
      <c r="H92" s="165">
        <f>F93-F94</f>
        <v>1497656.4399999995</v>
      </c>
    </row>
    <row r="93" spans="6:8" x14ac:dyDescent="0.25">
      <c r="F93" s="166">
        <v>7753736.7699999996</v>
      </c>
    </row>
    <row r="94" spans="6:8" x14ac:dyDescent="0.25">
      <c r="F94" s="166">
        <v>6256080.3300000001</v>
      </c>
    </row>
  </sheetData>
  <mergeCells count="1">
    <mergeCell ref="A2:E2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I28"/>
  <sheetViews>
    <sheetView workbookViewId="0">
      <selection activeCell="F13" sqref="F13"/>
    </sheetView>
  </sheetViews>
  <sheetFormatPr baseColWidth="10" defaultColWidth="11.42578125" defaultRowHeight="15" x14ac:dyDescent="0.25"/>
  <cols>
    <col min="6" max="6" width="13.5703125" bestFit="1" customWidth="1"/>
    <col min="9" max="9" width="15.7109375" customWidth="1"/>
  </cols>
  <sheetData>
    <row r="2" spans="1:9" ht="18.75" x14ac:dyDescent="0.3">
      <c r="A2" s="362" t="s">
        <v>97</v>
      </c>
      <c r="B2" s="362"/>
      <c r="C2" s="362"/>
      <c r="D2" s="362"/>
      <c r="E2" s="362"/>
      <c r="F2" s="362"/>
      <c r="G2" s="362"/>
      <c r="H2" s="362"/>
      <c r="I2" s="362"/>
    </row>
    <row r="7" spans="1:9" x14ac:dyDescent="0.25">
      <c r="C7" t="s">
        <v>158</v>
      </c>
      <c r="F7" s="107">
        <v>6256080.3300000001</v>
      </c>
      <c r="G7" t="s">
        <v>142</v>
      </c>
      <c r="I7" t="s">
        <v>219</v>
      </c>
    </row>
    <row r="8" spans="1:9" x14ac:dyDescent="0.25">
      <c r="C8" t="s">
        <v>162</v>
      </c>
      <c r="F8" s="7">
        <v>7341119.9395860201</v>
      </c>
      <c r="G8" t="s">
        <v>142</v>
      </c>
      <c r="I8" t="s">
        <v>220</v>
      </c>
    </row>
    <row r="9" spans="1:9" x14ac:dyDescent="0.25">
      <c r="C9" t="s">
        <v>159</v>
      </c>
      <c r="F9" s="7">
        <f>F8-F7</f>
        <v>1085039.60958602</v>
      </c>
      <c r="G9" t="s">
        <v>142</v>
      </c>
    </row>
    <row r="10" spans="1:9" x14ac:dyDescent="0.25">
      <c r="C10" t="s">
        <v>410</v>
      </c>
      <c r="F10" s="8">
        <f>F9*9</f>
        <v>9765356.4862741791</v>
      </c>
      <c r="G10" t="s">
        <v>286</v>
      </c>
    </row>
    <row r="11" spans="1:9" x14ac:dyDescent="0.25">
      <c r="C11" s="72" t="s">
        <v>163</v>
      </c>
      <c r="F11" s="8">
        <f>+F9*10</f>
        <v>10850396.0958602</v>
      </c>
    </row>
    <row r="26" spans="9:9" x14ac:dyDescent="0.25">
      <c r="I26" s="7"/>
    </row>
    <row r="28" spans="9:9" x14ac:dyDescent="0.25">
      <c r="I28" s="7"/>
    </row>
  </sheetData>
  <mergeCells count="1"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J15"/>
  <sheetViews>
    <sheetView topLeftCell="A7" workbookViewId="0">
      <selection activeCell="A18" sqref="A18"/>
    </sheetView>
  </sheetViews>
  <sheetFormatPr baseColWidth="10" defaultColWidth="11.42578125" defaultRowHeight="15" x14ac:dyDescent="0.25"/>
  <cols>
    <col min="1" max="1" width="57.28515625" bestFit="1" customWidth="1"/>
    <col min="2" max="2" width="17.5703125" customWidth="1"/>
    <col min="3" max="3" width="12.5703125" bestFit="1" customWidth="1"/>
    <col min="4" max="4" width="14.42578125" customWidth="1"/>
    <col min="5" max="5" width="17.85546875" customWidth="1"/>
    <col min="7" max="7" width="12.5703125" bestFit="1" customWidth="1"/>
  </cols>
  <sheetData>
    <row r="2" spans="1:10" ht="18.75" x14ac:dyDescent="0.3">
      <c r="A2" s="362" t="s">
        <v>98</v>
      </c>
      <c r="B2" s="362"/>
      <c r="C2" s="362"/>
      <c r="D2" s="362"/>
      <c r="E2" s="362"/>
      <c r="F2" s="362"/>
      <c r="G2" s="362"/>
      <c r="H2" s="362"/>
      <c r="I2" s="362"/>
    </row>
    <row r="4" spans="1:10" x14ac:dyDescent="0.25">
      <c r="A4" t="s">
        <v>99</v>
      </c>
    </row>
    <row r="6" spans="1:10" x14ac:dyDescent="0.25">
      <c r="A6" t="s">
        <v>215</v>
      </c>
    </row>
    <row r="9" spans="1:10" x14ac:dyDescent="0.25">
      <c r="F9" s="1"/>
    </row>
    <row r="11" spans="1:10" x14ac:dyDescent="0.25">
      <c r="A11" s="3" t="s">
        <v>161</v>
      </c>
      <c r="B11" s="12">
        <v>6916257.5403917767</v>
      </c>
      <c r="C11" s="3" t="s">
        <v>142</v>
      </c>
      <c r="D11" s="3"/>
      <c r="E11" s="3"/>
      <c r="I11" t="s">
        <v>165</v>
      </c>
    </row>
    <row r="12" spans="1:10" x14ac:dyDescent="0.25">
      <c r="A12" s="3"/>
      <c r="B12" s="3"/>
      <c r="C12" s="3"/>
      <c r="D12" s="3" t="s">
        <v>216</v>
      </c>
      <c r="E12" s="3" t="s">
        <v>163</v>
      </c>
    </row>
    <row r="13" spans="1:10" x14ac:dyDescent="0.25">
      <c r="A13" s="53" t="s">
        <v>164</v>
      </c>
      <c r="B13" s="2">
        <v>7341119.9395860201</v>
      </c>
      <c r="C13" s="53" t="s">
        <v>142</v>
      </c>
      <c r="D13" s="2">
        <f>B13-B11</f>
        <v>424862.39919424336</v>
      </c>
      <c r="E13" s="12">
        <f>D13*10</f>
        <v>4248623.9919424336</v>
      </c>
      <c r="I13" t="s">
        <v>166</v>
      </c>
      <c r="J13" t="s">
        <v>214</v>
      </c>
    </row>
    <row r="14" spans="1:10" x14ac:dyDescent="0.25">
      <c r="A14" s="16"/>
      <c r="B14" s="65"/>
      <c r="C14" s="16"/>
      <c r="D14" s="65"/>
      <c r="E14" s="87"/>
    </row>
    <row r="15" spans="1:10" x14ac:dyDescent="0.25">
      <c r="A15" s="16"/>
      <c r="B15" s="65"/>
      <c r="C15" s="16"/>
      <c r="D15" s="65"/>
      <c r="E15" s="87"/>
    </row>
  </sheetData>
  <mergeCells count="1"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E51"/>
  <sheetViews>
    <sheetView topLeftCell="C24" workbookViewId="0">
      <selection activeCell="C38" sqref="C38"/>
    </sheetView>
  </sheetViews>
  <sheetFormatPr baseColWidth="10" defaultColWidth="11.42578125" defaultRowHeight="15" x14ac:dyDescent="0.25"/>
  <cols>
    <col min="2" max="2" width="11.42578125" style="72"/>
    <col min="3" max="3" width="91" style="72" customWidth="1"/>
    <col min="4" max="4" width="41.42578125" style="72" hidden="1" customWidth="1"/>
    <col min="5" max="5" width="18.140625" style="72" customWidth="1"/>
    <col min="6" max="6" width="19" style="72" customWidth="1"/>
    <col min="7" max="7" width="19.28515625" style="72" customWidth="1"/>
    <col min="8" max="8" width="18.85546875" style="72" customWidth="1"/>
    <col min="9" max="9" width="16.42578125" style="72" customWidth="1"/>
    <col min="10" max="10" width="17.7109375" style="72" customWidth="1"/>
    <col min="11" max="11" width="18.140625" style="72" customWidth="1"/>
    <col min="12" max="12" width="17.7109375" style="72" customWidth="1"/>
    <col min="13" max="13" width="19.85546875" style="72" customWidth="1"/>
    <col min="14" max="14" width="19.5703125" style="72" customWidth="1"/>
    <col min="15" max="15" width="18" style="72" customWidth="1"/>
    <col min="16" max="16" width="18.28515625" style="72" customWidth="1"/>
    <col min="17" max="18" width="15.28515625" style="72" customWidth="1"/>
    <col min="19" max="19" width="7.85546875" style="72" customWidth="1"/>
    <col min="20" max="20" width="19.28515625" style="72" customWidth="1"/>
    <col min="21" max="22" width="15.28515625" style="72" bestFit="1" customWidth="1"/>
    <col min="23" max="23" width="18.28515625" style="72" customWidth="1"/>
    <col min="24" max="24" width="16.140625" style="72" customWidth="1"/>
    <col min="25" max="25" width="17.140625" style="72" customWidth="1"/>
    <col min="26" max="27" width="16.140625" style="72" customWidth="1"/>
    <col min="28" max="28" width="16.85546875" style="72" customWidth="1"/>
    <col min="29" max="29" width="17.140625" style="72" customWidth="1"/>
    <col min="30" max="30" width="16.5703125" style="72" customWidth="1"/>
    <col min="31" max="31" width="17.85546875" style="72" customWidth="1"/>
  </cols>
  <sheetData>
    <row r="1" spans="2:31" s="72" customFormat="1" ht="18.75" x14ac:dyDescent="0.3">
      <c r="B1" s="289" t="s">
        <v>402</v>
      </c>
      <c r="C1" s="260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2:31" s="72" customFormat="1" x14ac:dyDescent="0.25"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2:31" x14ac:dyDescent="0.25"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2:31" ht="38.25" x14ac:dyDescent="0.25">
      <c r="B4" s="291" t="s">
        <v>104</v>
      </c>
      <c r="C4" s="291" t="s">
        <v>105</v>
      </c>
      <c r="D4" s="291"/>
      <c r="E4" s="292" t="s">
        <v>106</v>
      </c>
      <c r="F4" s="292" t="s">
        <v>107</v>
      </c>
      <c r="G4" s="292" t="s">
        <v>108</v>
      </c>
      <c r="H4" s="285">
        <v>2020</v>
      </c>
      <c r="I4" s="285">
        <v>2021</v>
      </c>
      <c r="J4" s="285">
        <v>2022</v>
      </c>
      <c r="K4" s="285">
        <v>2023</v>
      </c>
      <c r="L4" s="285">
        <v>2024</v>
      </c>
      <c r="M4" s="285">
        <v>2025</v>
      </c>
      <c r="N4" s="285">
        <v>2026</v>
      </c>
      <c r="O4" s="285">
        <v>2027</v>
      </c>
      <c r="P4" s="285">
        <v>2028</v>
      </c>
      <c r="Q4" s="285">
        <v>2029</v>
      </c>
      <c r="R4" s="285">
        <v>2030</v>
      </c>
      <c r="S4" s="285"/>
      <c r="T4" s="285" t="s">
        <v>109</v>
      </c>
      <c r="U4" s="285">
        <v>2020</v>
      </c>
      <c r="V4" s="285">
        <v>2021</v>
      </c>
      <c r="W4" s="285">
        <v>2022</v>
      </c>
      <c r="X4" s="285">
        <v>2023</v>
      </c>
      <c r="Y4" s="285">
        <v>2024</v>
      </c>
      <c r="Z4" s="285">
        <v>2025</v>
      </c>
      <c r="AA4" s="285">
        <v>2026</v>
      </c>
      <c r="AB4" s="285">
        <v>2027</v>
      </c>
      <c r="AC4" s="285">
        <v>2028</v>
      </c>
      <c r="AD4" s="285">
        <v>2029</v>
      </c>
      <c r="AE4" s="285">
        <v>2030</v>
      </c>
    </row>
    <row r="5" spans="2:31" ht="26.25" x14ac:dyDescent="0.25">
      <c r="B5" s="293">
        <v>2.2000000000000002</v>
      </c>
      <c r="C5" s="294" t="s">
        <v>110</v>
      </c>
      <c r="D5" s="295" t="s">
        <v>111</v>
      </c>
      <c r="E5" s="296">
        <v>60000</v>
      </c>
      <c r="F5" s="296">
        <f>E5*0.12</f>
        <v>7200</v>
      </c>
      <c r="G5" s="296">
        <f>E5+F5</f>
        <v>67200</v>
      </c>
      <c r="H5" s="307">
        <f>E5</f>
        <v>60000</v>
      </c>
      <c r="I5" s="307"/>
      <c r="J5" s="307"/>
      <c r="K5" s="308"/>
      <c r="L5" s="308"/>
      <c r="M5" s="308"/>
      <c r="N5" s="308"/>
      <c r="O5" s="308"/>
      <c r="P5" s="308"/>
      <c r="Q5" s="308"/>
      <c r="R5" s="308"/>
      <c r="S5" s="308"/>
      <c r="T5" s="309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</row>
    <row r="6" spans="2:31" ht="26.25" x14ac:dyDescent="0.25">
      <c r="B6" s="293">
        <v>2.4</v>
      </c>
      <c r="C6" s="294" t="s">
        <v>112</v>
      </c>
      <c r="D6" s="295" t="s">
        <v>111</v>
      </c>
      <c r="E6" s="296">
        <v>1000000</v>
      </c>
      <c r="F6" s="296">
        <f t="shared" ref="F6:F25" si="0">E6*0.12</f>
        <v>120000</v>
      </c>
      <c r="G6" s="296">
        <f t="shared" ref="G6:G25" si="1">E6+F6</f>
        <v>1120000</v>
      </c>
      <c r="H6" s="307">
        <f>E6/3</f>
        <v>333333.33333333331</v>
      </c>
      <c r="I6" s="307">
        <f>E6/3-F55</f>
        <v>333333.33333333331</v>
      </c>
      <c r="J6" s="307">
        <f>E6/3-G55</f>
        <v>333333.33333333331</v>
      </c>
      <c r="K6" s="308"/>
      <c r="L6" s="308"/>
      <c r="M6" s="308"/>
      <c r="N6" s="308"/>
      <c r="O6" s="308"/>
      <c r="P6" s="308"/>
      <c r="Q6" s="308"/>
      <c r="R6" s="308"/>
      <c r="S6" s="308"/>
      <c r="T6" s="309">
        <f>E6*0.15</f>
        <v>150000</v>
      </c>
      <c r="U6" s="307"/>
      <c r="V6" s="307">
        <f>$T$6*0.1</f>
        <v>15000</v>
      </c>
      <c r="W6" s="307">
        <f t="shared" ref="W6:AE6" si="2">$T$6*0.1</f>
        <v>15000</v>
      </c>
      <c r="X6" s="307">
        <f t="shared" si="2"/>
        <v>15000</v>
      </c>
      <c r="Y6" s="307">
        <f t="shared" si="2"/>
        <v>15000</v>
      </c>
      <c r="Z6" s="307">
        <f t="shared" si="2"/>
        <v>15000</v>
      </c>
      <c r="AA6" s="307">
        <f t="shared" si="2"/>
        <v>15000</v>
      </c>
      <c r="AB6" s="307">
        <f t="shared" si="2"/>
        <v>15000</v>
      </c>
      <c r="AC6" s="307">
        <f t="shared" si="2"/>
        <v>15000</v>
      </c>
      <c r="AD6" s="307">
        <f t="shared" si="2"/>
        <v>15000</v>
      </c>
      <c r="AE6" s="307">
        <f t="shared" si="2"/>
        <v>15000</v>
      </c>
    </row>
    <row r="7" spans="2:31" x14ac:dyDescent="0.25">
      <c r="B7" s="293">
        <v>2.5</v>
      </c>
      <c r="C7" s="294" t="s">
        <v>113</v>
      </c>
      <c r="D7" s="295" t="s">
        <v>111</v>
      </c>
      <c r="E7" s="296">
        <v>200000</v>
      </c>
      <c r="F7" s="296">
        <f t="shared" si="0"/>
        <v>24000</v>
      </c>
      <c r="G7" s="296">
        <f t="shared" si="1"/>
        <v>224000</v>
      </c>
      <c r="H7" s="307">
        <f>E7</f>
        <v>200000</v>
      </c>
      <c r="I7" s="307"/>
      <c r="J7" s="307"/>
      <c r="K7" s="308"/>
      <c r="L7" s="308"/>
      <c r="M7" s="308"/>
      <c r="N7" s="308"/>
      <c r="O7" s="308"/>
      <c r="P7" s="308"/>
      <c r="Q7" s="308"/>
      <c r="R7" s="308"/>
      <c r="S7" s="308"/>
      <c r="T7" s="309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</row>
    <row r="8" spans="2:31" x14ac:dyDescent="0.25">
      <c r="B8" s="297" t="s">
        <v>114</v>
      </c>
      <c r="C8" s="294" t="s">
        <v>115</v>
      </c>
      <c r="D8" s="295" t="s">
        <v>111</v>
      </c>
      <c r="E8" s="296">
        <v>1200000</v>
      </c>
      <c r="F8" s="296">
        <f t="shared" si="0"/>
        <v>144000</v>
      </c>
      <c r="G8" s="296">
        <f t="shared" si="1"/>
        <v>1344000</v>
      </c>
      <c r="H8" s="307"/>
      <c r="I8" s="307">
        <f>E8*0.8</f>
        <v>960000</v>
      </c>
      <c r="J8" s="307">
        <f>E8*0.2</f>
        <v>240000</v>
      </c>
      <c r="K8" s="308"/>
      <c r="L8" s="308"/>
      <c r="M8" s="308"/>
      <c r="N8" s="308"/>
      <c r="O8" s="308"/>
      <c r="P8" s="308"/>
      <c r="Q8" s="308"/>
      <c r="R8" s="308"/>
      <c r="S8" s="308"/>
      <c r="T8" s="309">
        <f>E8*0.2</f>
        <v>240000</v>
      </c>
      <c r="U8" s="307"/>
      <c r="V8" s="307">
        <f t="shared" ref="V8:AE8" si="3">$T$6*0.1</f>
        <v>15000</v>
      </c>
      <c r="W8" s="307">
        <f t="shared" si="3"/>
        <v>15000</v>
      </c>
      <c r="X8" s="307">
        <f t="shared" si="3"/>
        <v>15000</v>
      </c>
      <c r="Y8" s="307">
        <f t="shared" si="3"/>
        <v>15000</v>
      </c>
      <c r="Z8" s="307">
        <f t="shared" si="3"/>
        <v>15000</v>
      </c>
      <c r="AA8" s="307">
        <f t="shared" si="3"/>
        <v>15000</v>
      </c>
      <c r="AB8" s="307">
        <f t="shared" si="3"/>
        <v>15000</v>
      </c>
      <c r="AC8" s="307">
        <f t="shared" si="3"/>
        <v>15000</v>
      </c>
      <c r="AD8" s="307">
        <f t="shared" si="3"/>
        <v>15000</v>
      </c>
      <c r="AE8" s="307">
        <f t="shared" si="3"/>
        <v>15000</v>
      </c>
    </row>
    <row r="9" spans="2:31" x14ac:dyDescent="0.25">
      <c r="B9" s="311" t="s">
        <v>405</v>
      </c>
      <c r="C9" s="312" t="s">
        <v>406</v>
      </c>
      <c r="D9" s="313" t="s">
        <v>111</v>
      </c>
      <c r="E9" s="314">
        <v>1200000</v>
      </c>
      <c r="F9" s="314">
        <f t="shared" si="0"/>
        <v>144000</v>
      </c>
      <c r="G9" s="314">
        <f t="shared" si="1"/>
        <v>1344000</v>
      </c>
      <c r="H9" s="315"/>
      <c r="I9" s="315">
        <f>E9*0.3</f>
        <v>360000</v>
      </c>
      <c r="J9" s="315">
        <f>E9*0.5</f>
        <v>600000</v>
      </c>
      <c r="K9" s="315">
        <f>E9*0.2</f>
        <v>240000</v>
      </c>
      <c r="L9" s="316"/>
      <c r="M9" s="316"/>
      <c r="N9" s="316"/>
      <c r="O9" s="316"/>
      <c r="P9" s="316"/>
      <c r="Q9" s="316"/>
      <c r="R9" s="316"/>
      <c r="S9" s="316"/>
      <c r="T9" s="309">
        <f t="shared" ref="T9:T10" si="4">E9*0.2</f>
        <v>240000</v>
      </c>
      <c r="U9" s="317"/>
      <c r="V9" s="307"/>
      <c r="W9" s="317"/>
      <c r="X9" s="317">
        <f>$T$7/8</f>
        <v>0</v>
      </c>
      <c r="Y9" s="317">
        <f t="shared" ref="Y9:AE9" si="5">$T$7/8</f>
        <v>0</v>
      </c>
      <c r="Z9" s="317">
        <f t="shared" si="5"/>
        <v>0</v>
      </c>
      <c r="AA9" s="317">
        <f t="shared" si="5"/>
        <v>0</v>
      </c>
      <c r="AB9" s="317">
        <f t="shared" si="5"/>
        <v>0</v>
      </c>
      <c r="AC9" s="317">
        <f t="shared" si="5"/>
        <v>0</v>
      </c>
      <c r="AD9" s="317">
        <f t="shared" si="5"/>
        <v>0</v>
      </c>
      <c r="AE9" s="317">
        <f t="shared" si="5"/>
        <v>0</v>
      </c>
    </row>
    <row r="10" spans="2:31" x14ac:dyDescent="0.25">
      <c r="B10" s="311" t="s">
        <v>407</v>
      </c>
      <c r="C10" s="312" t="s">
        <v>408</v>
      </c>
      <c r="D10" s="313" t="s">
        <v>111</v>
      </c>
      <c r="E10" s="314">
        <v>647079.83999999985</v>
      </c>
      <c r="F10" s="314">
        <f t="shared" si="0"/>
        <v>77649.580799999982</v>
      </c>
      <c r="G10" s="314">
        <f t="shared" si="1"/>
        <v>724729.42079999985</v>
      </c>
      <c r="H10" s="315"/>
      <c r="I10" s="315">
        <f>0.5*E10</f>
        <v>323539.91999999993</v>
      </c>
      <c r="J10" s="315">
        <f>0.5*E10</f>
        <v>323539.91999999993</v>
      </c>
      <c r="K10" s="318"/>
      <c r="L10" s="316"/>
      <c r="M10" s="316"/>
      <c r="N10" s="316"/>
      <c r="O10" s="316"/>
      <c r="P10" s="316"/>
      <c r="Q10" s="316"/>
      <c r="R10" s="316"/>
      <c r="S10" s="316"/>
      <c r="T10" s="309">
        <f t="shared" si="4"/>
        <v>129415.96799999998</v>
      </c>
      <c r="U10" s="317"/>
      <c r="V10" s="317">
        <f>$T$8/10</f>
        <v>24000</v>
      </c>
      <c r="W10" s="317">
        <f t="shared" ref="W10:AE10" si="6">$T$8/10</f>
        <v>24000</v>
      </c>
      <c r="X10" s="317">
        <f t="shared" si="6"/>
        <v>24000</v>
      </c>
      <c r="Y10" s="317">
        <f t="shared" si="6"/>
        <v>24000</v>
      </c>
      <c r="Z10" s="317">
        <f t="shared" si="6"/>
        <v>24000</v>
      </c>
      <c r="AA10" s="317">
        <f t="shared" si="6"/>
        <v>24000</v>
      </c>
      <c r="AB10" s="317">
        <f t="shared" si="6"/>
        <v>24000</v>
      </c>
      <c r="AC10" s="317">
        <f t="shared" si="6"/>
        <v>24000</v>
      </c>
      <c r="AD10" s="317">
        <f t="shared" si="6"/>
        <v>24000</v>
      </c>
      <c r="AE10" s="317">
        <f t="shared" si="6"/>
        <v>24000</v>
      </c>
    </row>
    <row r="11" spans="2:31" x14ac:dyDescent="0.25">
      <c r="B11" s="293">
        <v>5.2</v>
      </c>
      <c r="C11" s="294" t="s">
        <v>116</v>
      </c>
      <c r="D11" s="295" t="s">
        <v>111</v>
      </c>
      <c r="E11" s="296">
        <v>100000</v>
      </c>
      <c r="F11" s="296">
        <f t="shared" si="0"/>
        <v>12000</v>
      </c>
      <c r="G11" s="296">
        <f t="shared" si="1"/>
        <v>112000</v>
      </c>
      <c r="H11" s="308"/>
      <c r="I11" s="307">
        <f>E11</f>
        <v>100000</v>
      </c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19">
        <f>E11*0.2</f>
        <v>20000</v>
      </c>
      <c r="U11" s="307"/>
      <c r="V11" s="307">
        <f t="shared" ref="V11:AE11" si="7">$T$9/10</f>
        <v>24000</v>
      </c>
      <c r="W11" s="307">
        <f t="shared" si="7"/>
        <v>24000</v>
      </c>
      <c r="X11" s="307">
        <f t="shared" si="7"/>
        <v>24000</v>
      </c>
      <c r="Y11" s="307">
        <f t="shared" si="7"/>
        <v>24000</v>
      </c>
      <c r="Z11" s="307">
        <f t="shared" si="7"/>
        <v>24000</v>
      </c>
      <c r="AA11" s="307">
        <f t="shared" si="7"/>
        <v>24000</v>
      </c>
      <c r="AB11" s="307">
        <f t="shared" si="7"/>
        <v>24000</v>
      </c>
      <c r="AC11" s="307">
        <f t="shared" si="7"/>
        <v>24000</v>
      </c>
      <c r="AD11" s="307">
        <f t="shared" si="7"/>
        <v>24000</v>
      </c>
      <c r="AE11" s="307">
        <f t="shared" si="7"/>
        <v>24000</v>
      </c>
    </row>
    <row r="12" spans="2:31" ht="26.25" x14ac:dyDescent="0.25">
      <c r="B12" s="298" t="s">
        <v>117</v>
      </c>
      <c r="C12" s="299" t="s">
        <v>118</v>
      </c>
      <c r="D12" s="300" t="s">
        <v>119</v>
      </c>
      <c r="E12" s="301">
        <f>SUM(I12:R12)</f>
        <v>2027379.3299999998</v>
      </c>
      <c r="F12" s="301">
        <f t="shared" si="0"/>
        <v>243285.51959999997</v>
      </c>
      <c r="G12" s="301">
        <f t="shared" si="1"/>
        <v>2270664.8495999998</v>
      </c>
      <c r="H12" s="301"/>
      <c r="I12" s="301">
        <v>366059.55</v>
      </c>
      <c r="J12" s="301">
        <v>188263.93</v>
      </c>
      <c r="K12" s="301">
        <v>187521.71</v>
      </c>
      <c r="L12" s="301">
        <v>186714.86</v>
      </c>
      <c r="M12" s="301">
        <v>185535.45</v>
      </c>
      <c r="N12" s="301">
        <v>185521.68</v>
      </c>
      <c r="O12" s="301">
        <v>183888.65</v>
      </c>
      <c r="P12" s="301">
        <v>183445.49</v>
      </c>
      <c r="Q12" s="301">
        <v>180673</v>
      </c>
      <c r="R12" s="301">
        <v>179755.01</v>
      </c>
      <c r="S12" s="301"/>
      <c r="T12" s="320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</row>
    <row r="13" spans="2:31" x14ac:dyDescent="0.25">
      <c r="B13" s="298">
        <v>2.11</v>
      </c>
      <c r="C13" s="299" t="s">
        <v>120</v>
      </c>
      <c r="D13" s="300" t="s">
        <v>119</v>
      </c>
      <c r="E13" s="301">
        <v>1011360</v>
      </c>
      <c r="F13" s="301">
        <f t="shared" si="0"/>
        <v>121363.2</v>
      </c>
      <c r="G13" s="301">
        <f t="shared" si="1"/>
        <v>1132723.2</v>
      </c>
      <c r="H13" s="301">
        <f>E13</f>
        <v>1011360</v>
      </c>
      <c r="I13" s="322"/>
      <c r="J13" s="322"/>
      <c r="K13" s="322"/>
      <c r="L13" s="322"/>
      <c r="M13" s="322"/>
      <c r="N13" s="322"/>
      <c r="O13" s="322"/>
      <c r="P13" s="322"/>
      <c r="Q13" s="323"/>
      <c r="R13" s="323"/>
      <c r="S13" s="323"/>
      <c r="T13" s="320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</row>
    <row r="14" spans="2:31" x14ac:dyDescent="0.25">
      <c r="B14" s="298">
        <v>5.3</v>
      </c>
      <c r="C14" s="299" t="s">
        <v>121</v>
      </c>
      <c r="D14" s="300" t="s">
        <v>119</v>
      </c>
      <c r="E14" s="301">
        <v>200000</v>
      </c>
      <c r="F14" s="301">
        <f t="shared" si="0"/>
        <v>24000</v>
      </c>
      <c r="G14" s="301">
        <f t="shared" si="1"/>
        <v>224000</v>
      </c>
      <c r="H14" s="301">
        <f>E14</f>
        <v>200000</v>
      </c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0">
        <f>E14*0.2</f>
        <v>40000</v>
      </c>
      <c r="U14" s="320"/>
      <c r="V14" s="320">
        <f t="shared" ref="V14:AE14" si="8">$T$12/10</f>
        <v>0</v>
      </c>
      <c r="W14" s="320">
        <f t="shared" si="8"/>
        <v>0</v>
      </c>
      <c r="X14" s="320">
        <f t="shared" si="8"/>
        <v>0</v>
      </c>
      <c r="Y14" s="320">
        <f t="shared" si="8"/>
        <v>0</v>
      </c>
      <c r="Z14" s="320">
        <f t="shared" si="8"/>
        <v>0</v>
      </c>
      <c r="AA14" s="320">
        <f t="shared" si="8"/>
        <v>0</v>
      </c>
      <c r="AB14" s="320">
        <f t="shared" si="8"/>
        <v>0</v>
      </c>
      <c r="AC14" s="320">
        <f t="shared" si="8"/>
        <v>0</v>
      </c>
      <c r="AD14" s="320">
        <f t="shared" si="8"/>
        <v>0</v>
      </c>
      <c r="AE14" s="320">
        <f t="shared" si="8"/>
        <v>0</v>
      </c>
    </row>
    <row r="15" spans="2:31" ht="26.25" x14ac:dyDescent="0.25">
      <c r="B15" s="298">
        <v>5.5</v>
      </c>
      <c r="C15" s="299" t="s">
        <v>122</v>
      </c>
      <c r="D15" s="300" t="s">
        <v>119</v>
      </c>
      <c r="E15" s="301">
        <v>160000</v>
      </c>
      <c r="F15" s="301">
        <f t="shared" si="0"/>
        <v>19200</v>
      </c>
      <c r="G15" s="301">
        <f t="shared" si="1"/>
        <v>179200</v>
      </c>
      <c r="H15" s="301">
        <f t="shared" ref="H15" si="9">E15</f>
        <v>160000</v>
      </c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0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</row>
    <row r="16" spans="2:31" x14ac:dyDescent="0.25">
      <c r="B16" s="298">
        <v>5.6</v>
      </c>
      <c r="C16" s="299" t="s">
        <v>123</v>
      </c>
      <c r="D16" s="300" t="s">
        <v>119</v>
      </c>
      <c r="E16" s="301">
        <v>500000</v>
      </c>
      <c r="F16" s="301">
        <f t="shared" si="0"/>
        <v>60000</v>
      </c>
      <c r="G16" s="301">
        <f t="shared" si="1"/>
        <v>560000</v>
      </c>
      <c r="H16" s="301"/>
      <c r="I16" s="323"/>
      <c r="J16" s="301">
        <f>E16/2</f>
        <v>250000</v>
      </c>
      <c r="K16" s="301">
        <f>E16/2</f>
        <v>250000</v>
      </c>
      <c r="L16" s="323"/>
      <c r="M16" s="323"/>
      <c r="N16" s="323"/>
      <c r="O16" s="323"/>
      <c r="P16" s="323"/>
      <c r="Q16" s="323"/>
      <c r="R16" s="323"/>
      <c r="S16" s="323"/>
      <c r="T16" s="320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</row>
    <row r="17" spans="2:31" x14ac:dyDescent="0.25">
      <c r="B17" s="302">
        <v>3.1</v>
      </c>
      <c r="C17" s="341" t="s">
        <v>135</v>
      </c>
      <c r="D17" s="340" t="s">
        <v>124</v>
      </c>
      <c r="E17" s="288">
        <v>4277776.72</v>
      </c>
      <c r="F17" s="303">
        <f t="shared" si="0"/>
        <v>513333.20639999997</v>
      </c>
      <c r="G17" s="303">
        <f t="shared" si="1"/>
        <v>4791109.9263999993</v>
      </c>
      <c r="H17" s="303"/>
      <c r="I17" s="324">
        <f>E17*0.5</f>
        <v>2138888.36</v>
      </c>
      <c r="J17" s="325">
        <f>E17*0.5</f>
        <v>2138888.36</v>
      </c>
      <c r="K17" s="325"/>
      <c r="L17" s="325"/>
      <c r="M17" s="325"/>
      <c r="N17" s="325"/>
      <c r="O17" s="325"/>
      <c r="P17" s="325"/>
      <c r="Q17" s="326"/>
      <c r="R17" s="326"/>
      <c r="S17" s="326"/>
      <c r="T17" s="327">
        <f>E17*0.2</f>
        <v>855555.34400000004</v>
      </c>
      <c r="U17" s="328"/>
      <c r="V17" s="328"/>
      <c r="W17" s="329">
        <f t="shared" ref="W17:AE25" si="10">$T17/9</f>
        <v>95061.704888888897</v>
      </c>
      <c r="X17" s="329">
        <f t="shared" si="10"/>
        <v>95061.704888888897</v>
      </c>
      <c r="Y17" s="329">
        <f t="shared" si="10"/>
        <v>95061.704888888897</v>
      </c>
      <c r="Z17" s="329">
        <f t="shared" si="10"/>
        <v>95061.704888888897</v>
      </c>
      <c r="AA17" s="329">
        <f t="shared" si="10"/>
        <v>95061.704888888897</v>
      </c>
      <c r="AB17" s="329">
        <f t="shared" si="10"/>
        <v>95061.704888888897</v>
      </c>
      <c r="AC17" s="329">
        <f t="shared" si="10"/>
        <v>95061.704888888897</v>
      </c>
      <c r="AD17" s="329">
        <f t="shared" si="10"/>
        <v>95061.704888888897</v>
      </c>
      <c r="AE17" s="329">
        <f t="shared" si="10"/>
        <v>95061.704888888897</v>
      </c>
    </row>
    <row r="18" spans="2:31" x14ac:dyDescent="0.25">
      <c r="B18" s="302">
        <v>3.3</v>
      </c>
      <c r="C18" s="341" t="s">
        <v>134</v>
      </c>
      <c r="D18" s="340" t="s">
        <v>124</v>
      </c>
      <c r="E18" s="288">
        <v>1632874.65</v>
      </c>
      <c r="F18" s="303">
        <f t="shared" si="0"/>
        <v>195944.95799999998</v>
      </c>
      <c r="G18" s="303">
        <f t="shared" si="1"/>
        <v>1828819.608</v>
      </c>
      <c r="H18" s="303"/>
      <c r="I18" s="303">
        <f>E18*0.4</f>
        <v>653149.86</v>
      </c>
      <c r="J18" s="325">
        <f>E18*0.6</f>
        <v>979724.78999999992</v>
      </c>
      <c r="K18" s="325"/>
      <c r="L18" s="325"/>
      <c r="M18" s="325"/>
      <c r="N18" s="325"/>
      <c r="O18" s="325"/>
      <c r="P18" s="325"/>
      <c r="Q18" s="326"/>
      <c r="R18" s="326"/>
      <c r="S18" s="326"/>
      <c r="T18" s="327">
        <f t="shared" ref="T18:T25" si="11">E18*0.2</f>
        <v>326574.93</v>
      </c>
      <c r="U18" s="328"/>
      <c r="V18" s="328"/>
      <c r="W18" s="329">
        <f t="shared" si="10"/>
        <v>36286.103333333333</v>
      </c>
      <c r="X18" s="329">
        <f t="shared" si="10"/>
        <v>36286.103333333333</v>
      </c>
      <c r="Y18" s="329">
        <f t="shared" si="10"/>
        <v>36286.103333333333</v>
      </c>
      <c r="Z18" s="329">
        <f t="shared" si="10"/>
        <v>36286.103333333333</v>
      </c>
      <c r="AA18" s="329">
        <f t="shared" si="10"/>
        <v>36286.103333333333</v>
      </c>
      <c r="AB18" s="329">
        <f t="shared" si="10"/>
        <v>36286.103333333333</v>
      </c>
      <c r="AC18" s="329">
        <f t="shared" si="10"/>
        <v>36286.103333333333</v>
      </c>
      <c r="AD18" s="329">
        <f t="shared" si="10"/>
        <v>36286.103333333333</v>
      </c>
      <c r="AE18" s="329">
        <f t="shared" si="10"/>
        <v>36286.103333333333</v>
      </c>
    </row>
    <row r="19" spans="2:31" x14ac:dyDescent="0.25">
      <c r="B19" s="302">
        <v>3.4</v>
      </c>
      <c r="C19" s="341" t="s">
        <v>133</v>
      </c>
      <c r="D19" s="340" t="s">
        <v>124</v>
      </c>
      <c r="E19" s="288">
        <v>1249458.03</v>
      </c>
      <c r="F19" s="303">
        <f t="shared" si="0"/>
        <v>149934.96359999999</v>
      </c>
      <c r="G19" s="303">
        <f t="shared" si="1"/>
        <v>1399392.9935999999</v>
      </c>
      <c r="H19" s="303"/>
      <c r="I19" s="303">
        <f>E19*0.55</f>
        <v>687201.91650000005</v>
      </c>
      <c r="J19" s="325">
        <f>E19*0.45</f>
        <v>562256.11349999998</v>
      </c>
      <c r="K19" s="325"/>
      <c r="L19" s="325"/>
      <c r="M19" s="325"/>
      <c r="N19" s="325"/>
      <c r="O19" s="325"/>
      <c r="P19" s="325"/>
      <c r="Q19" s="326"/>
      <c r="R19" s="326"/>
      <c r="S19" s="326"/>
      <c r="T19" s="327">
        <f t="shared" si="11"/>
        <v>249891.60600000003</v>
      </c>
      <c r="U19" s="328"/>
      <c r="V19" s="328"/>
      <c r="W19" s="329">
        <f t="shared" si="10"/>
        <v>27765.734000000004</v>
      </c>
      <c r="X19" s="329">
        <f t="shared" si="10"/>
        <v>27765.734000000004</v>
      </c>
      <c r="Y19" s="329">
        <f t="shared" si="10"/>
        <v>27765.734000000004</v>
      </c>
      <c r="Z19" s="329">
        <f t="shared" si="10"/>
        <v>27765.734000000004</v>
      </c>
      <c r="AA19" s="329">
        <f t="shared" si="10"/>
        <v>27765.734000000004</v>
      </c>
      <c r="AB19" s="329">
        <f t="shared" si="10"/>
        <v>27765.734000000004</v>
      </c>
      <c r="AC19" s="329">
        <f t="shared" si="10"/>
        <v>27765.734000000004</v>
      </c>
      <c r="AD19" s="329">
        <f t="shared" si="10"/>
        <v>27765.734000000004</v>
      </c>
      <c r="AE19" s="329">
        <f t="shared" si="10"/>
        <v>27765.734000000004</v>
      </c>
    </row>
    <row r="20" spans="2:31" x14ac:dyDescent="0.25">
      <c r="B20" s="302"/>
      <c r="C20" s="341" t="s">
        <v>399</v>
      </c>
      <c r="D20" s="340" t="s">
        <v>124</v>
      </c>
      <c r="E20" s="288">
        <v>96483.15</v>
      </c>
      <c r="F20" s="303">
        <f t="shared" si="0"/>
        <v>11577.977999999999</v>
      </c>
      <c r="G20" s="303">
        <f t="shared" si="1"/>
        <v>108061.128</v>
      </c>
      <c r="H20" s="303">
        <f>E20</f>
        <v>96483.15</v>
      </c>
      <c r="I20" s="304"/>
      <c r="J20" s="304"/>
      <c r="K20" s="325"/>
      <c r="L20" s="325"/>
      <c r="M20" s="325"/>
      <c r="N20" s="325"/>
      <c r="O20" s="325"/>
      <c r="P20" s="325"/>
      <c r="Q20" s="326"/>
      <c r="R20" s="326"/>
      <c r="S20" s="326"/>
      <c r="T20" s="327">
        <f t="shared" si="11"/>
        <v>19296.63</v>
      </c>
      <c r="U20" s="328"/>
      <c r="V20" s="329">
        <f>$T20/10</f>
        <v>1929.663</v>
      </c>
      <c r="W20" s="329">
        <f t="shared" ref="W20:AE21" si="12">$T20/10</f>
        <v>1929.663</v>
      </c>
      <c r="X20" s="329">
        <f t="shared" si="12"/>
        <v>1929.663</v>
      </c>
      <c r="Y20" s="329">
        <f t="shared" si="12"/>
        <v>1929.663</v>
      </c>
      <c r="Z20" s="329">
        <f t="shared" si="12"/>
        <v>1929.663</v>
      </c>
      <c r="AA20" s="329">
        <f t="shared" si="12"/>
        <v>1929.663</v>
      </c>
      <c r="AB20" s="329">
        <f t="shared" si="12"/>
        <v>1929.663</v>
      </c>
      <c r="AC20" s="329">
        <f t="shared" si="12"/>
        <v>1929.663</v>
      </c>
      <c r="AD20" s="329">
        <f t="shared" si="12"/>
        <v>1929.663</v>
      </c>
      <c r="AE20" s="329">
        <f t="shared" si="12"/>
        <v>1929.663</v>
      </c>
    </row>
    <row r="21" spans="2:31" x14ac:dyDescent="0.25">
      <c r="B21" s="302"/>
      <c r="C21" s="341" t="s">
        <v>400</v>
      </c>
      <c r="D21" s="340" t="s">
        <v>124</v>
      </c>
      <c r="E21" s="288">
        <v>82707.62</v>
      </c>
      <c r="F21" s="303">
        <f t="shared" si="0"/>
        <v>9924.9143999999997</v>
      </c>
      <c r="G21" s="303">
        <f t="shared" si="1"/>
        <v>92632.53439999999</v>
      </c>
      <c r="H21" s="303">
        <f>E21</f>
        <v>82707.62</v>
      </c>
      <c r="I21" s="304"/>
      <c r="J21" s="304"/>
      <c r="K21" s="325"/>
      <c r="L21" s="325"/>
      <c r="M21" s="325"/>
      <c r="N21" s="325"/>
      <c r="O21" s="325"/>
      <c r="P21" s="325"/>
      <c r="Q21" s="326"/>
      <c r="R21" s="326"/>
      <c r="S21" s="326"/>
      <c r="T21" s="327">
        <f t="shared" si="11"/>
        <v>16541.524000000001</v>
      </c>
      <c r="U21" s="328"/>
      <c r="V21" s="329">
        <f>$T21/10</f>
        <v>1654.1524000000002</v>
      </c>
      <c r="W21" s="329">
        <f t="shared" si="12"/>
        <v>1654.1524000000002</v>
      </c>
      <c r="X21" s="329">
        <f t="shared" si="12"/>
        <v>1654.1524000000002</v>
      </c>
      <c r="Y21" s="329">
        <f t="shared" si="12"/>
        <v>1654.1524000000002</v>
      </c>
      <c r="Z21" s="329">
        <f t="shared" si="12"/>
        <v>1654.1524000000002</v>
      </c>
      <c r="AA21" s="329">
        <f t="shared" si="12"/>
        <v>1654.1524000000002</v>
      </c>
      <c r="AB21" s="329">
        <f t="shared" si="12"/>
        <v>1654.1524000000002</v>
      </c>
      <c r="AC21" s="329">
        <f t="shared" si="12"/>
        <v>1654.1524000000002</v>
      </c>
      <c r="AD21" s="329">
        <f t="shared" si="12"/>
        <v>1654.1524000000002</v>
      </c>
      <c r="AE21" s="329">
        <f t="shared" si="12"/>
        <v>1654.1524000000002</v>
      </c>
    </row>
    <row r="22" spans="2:31" x14ac:dyDescent="0.25">
      <c r="B22" s="302">
        <v>3.7</v>
      </c>
      <c r="C22" s="341" t="s">
        <v>401</v>
      </c>
      <c r="D22" s="340" t="s">
        <v>124</v>
      </c>
      <c r="E22" s="288">
        <v>604073.77</v>
      </c>
      <c r="F22" s="303">
        <f t="shared" si="0"/>
        <v>72488.852400000003</v>
      </c>
      <c r="G22" s="303">
        <f t="shared" si="1"/>
        <v>676562.62239999999</v>
      </c>
      <c r="H22" s="303">
        <f t="shared" ref="H22:H23" si="13">0.15*E22</f>
        <v>90611.065499999997</v>
      </c>
      <c r="I22" s="303">
        <f t="shared" ref="I22:I23" si="14">0.7*E22</f>
        <v>422851.63899999997</v>
      </c>
      <c r="J22" s="325">
        <f t="shared" ref="J22:J23" si="15">0.15*E22</f>
        <v>90611.065499999997</v>
      </c>
      <c r="K22" s="325"/>
      <c r="L22" s="325"/>
      <c r="M22" s="325"/>
      <c r="N22" s="325"/>
      <c r="O22" s="325"/>
      <c r="P22" s="325"/>
      <c r="Q22" s="326"/>
      <c r="R22" s="326"/>
      <c r="S22" s="326"/>
      <c r="T22" s="327">
        <f t="shared" si="11"/>
        <v>120814.75400000002</v>
      </c>
      <c r="U22" s="328"/>
      <c r="V22" s="328"/>
      <c r="W22" s="329">
        <f t="shared" si="10"/>
        <v>13423.861555555557</v>
      </c>
      <c r="X22" s="329">
        <f t="shared" si="10"/>
        <v>13423.861555555557</v>
      </c>
      <c r="Y22" s="329">
        <f t="shared" si="10"/>
        <v>13423.861555555557</v>
      </c>
      <c r="Z22" s="329">
        <f t="shared" si="10"/>
        <v>13423.861555555557</v>
      </c>
      <c r="AA22" s="329">
        <f t="shared" si="10"/>
        <v>13423.861555555557</v>
      </c>
      <c r="AB22" s="329">
        <f t="shared" si="10"/>
        <v>13423.861555555557</v>
      </c>
      <c r="AC22" s="329">
        <f t="shared" si="10"/>
        <v>13423.861555555557</v>
      </c>
      <c r="AD22" s="329">
        <f t="shared" si="10"/>
        <v>13423.861555555557</v>
      </c>
      <c r="AE22" s="329">
        <f t="shared" si="10"/>
        <v>13423.861555555557</v>
      </c>
    </row>
    <row r="23" spans="2:31" x14ac:dyDescent="0.25">
      <c r="B23" s="302">
        <v>3.5</v>
      </c>
      <c r="C23" s="341" t="s">
        <v>132</v>
      </c>
      <c r="D23" s="340" t="s">
        <v>124</v>
      </c>
      <c r="E23" s="288">
        <v>807816.89</v>
      </c>
      <c r="F23" s="303">
        <f t="shared" si="0"/>
        <v>96938.026799999992</v>
      </c>
      <c r="G23" s="303">
        <f t="shared" si="1"/>
        <v>904754.91680000001</v>
      </c>
      <c r="H23" s="303">
        <f t="shared" si="13"/>
        <v>121172.53349999999</v>
      </c>
      <c r="I23" s="303">
        <f t="shared" si="14"/>
        <v>565471.82299999997</v>
      </c>
      <c r="J23" s="325">
        <f t="shared" si="15"/>
        <v>121172.53349999999</v>
      </c>
      <c r="K23" s="325"/>
      <c r="L23" s="325"/>
      <c r="M23" s="325"/>
      <c r="N23" s="325"/>
      <c r="O23" s="325"/>
      <c r="P23" s="325"/>
      <c r="Q23" s="326"/>
      <c r="R23" s="326"/>
      <c r="S23" s="326"/>
      <c r="T23" s="327">
        <f t="shared" si="11"/>
        <v>161563.37800000003</v>
      </c>
      <c r="U23" s="328"/>
      <c r="V23" s="328"/>
      <c r="W23" s="329">
        <f t="shared" si="10"/>
        <v>17951.486444444447</v>
      </c>
      <c r="X23" s="329">
        <f t="shared" si="10"/>
        <v>17951.486444444447</v>
      </c>
      <c r="Y23" s="329">
        <f t="shared" si="10"/>
        <v>17951.486444444447</v>
      </c>
      <c r="Z23" s="329">
        <f t="shared" si="10"/>
        <v>17951.486444444447</v>
      </c>
      <c r="AA23" s="329">
        <f t="shared" si="10"/>
        <v>17951.486444444447</v>
      </c>
      <c r="AB23" s="329">
        <f t="shared" si="10"/>
        <v>17951.486444444447</v>
      </c>
      <c r="AC23" s="329">
        <f t="shared" si="10"/>
        <v>17951.486444444447</v>
      </c>
      <c r="AD23" s="329">
        <f t="shared" si="10"/>
        <v>17951.486444444447</v>
      </c>
      <c r="AE23" s="329">
        <f t="shared" si="10"/>
        <v>17951.486444444447</v>
      </c>
    </row>
    <row r="24" spans="2:31" ht="18.75" customHeight="1" x14ac:dyDescent="0.25">
      <c r="B24" s="302">
        <v>3.11</v>
      </c>
      <c r="C24" s="341" t="s">
        <v>131</v>
      </c>
      <c r="D24" s="340" t="s">
        <v>124</v>
      </c>
      <c r="E24" s="288">
        <v>2000000</v>
      </c>
      <c r="F24" s="303">
        <f t="shared" si="0"/>
        <v>240000</v>
      </c>
      <c r="G24" s="303">
        <f t="shared" si="1"/>
        <v>2240000</v>
      </c>
      <c r="H24" s="303">
        <f>0.15*E24</f>
        <v>300000</v>
      </c>
      <c r="I24" s="303">
        <f>0.7*E24</f>
        <v>1400000</v>
      </c>
      <c r="J24" s="325">
        <f>0.15*E24</f>
        <v>300000</v>
      </c>
      <c r="K24" s="325"/>
      <c r="L24" s="325"/>
      <c r="M24" s="325"/>
      <c r="N24" s="325"/>
      <c r="O24" s="325"/>
      <c r="P24" s="325"/>
      <c r="Q24" s="326"/>
      <c r="R24" s="326"/>
      <c r="S24" s="326"/>
      <c r="T24" s="327">
        <f t="shared" si="11"/>
        <v>400000</v>
      </c>
      <c r="U24" s="328"/>
      <c r="V24" s="328"/>
      <c r="W24" s="329">
        <f t="shared" si="10"/>
        <v>44444.444444444445</v>
      </c>
      <c r="X24" s="329">
        <f t="shared" si="10"/>
        <v>44444.444444444445</v>
      </c>
      <c r="Y24" s="329">
        <f t="shared" si="10"/>
        <v>44444.444444444445</v>
      </c>
      <c r="Z24" s="329">
        <f t="shared" si="10"/>
        <v>44444.444444444445</v>
      </c>
      <c r="AA24" s="329">
        <f t="shared" si="10"/>
        <v>44444.444444444445</v>
      </c>
      <c r="AB24" s="329">
        <f t="shared" si="10"/>
        <v>44444.444444444445</v>
      </c>
      <c r="AC24" s="329">
        <f t="shared" si="10"/>
        <v>44444.444444444445</v>
      </c>
      <c r="AD24" s="329">
        <f t="shared" si="10"/>
        <v>44444.444444444445</v>
      </c>
      <c r="AE24" s="329">
        <f t="shared" si="10"/>
        <v>44444.444444444445</v>
      </c>
    </row>
    <row r="25" spans="2:31" ht="18.75" customHeight="1" x14ac:dyDescent="0.25">
      <c r="B25" s="302">
        <v>4.2</v>
      </c>
      <c r="C25" s="341" t="s">
        <v>130</v>
      </c>
      <c r="D25" s="340" t="s">
        <v>124</v>
      </c>
      <c r="E25" s="288">
        <v>700128.96</v>
      </c>
      <c r="F25" s="303">
        <f t="shared" si="0"/>
        <v>84015.475199999986</v>
      </c>
      <c r="G25" s="303">
        <f t="shared" si="1"/>
        <v>784144.43519999995</v>
      </c>
      <c r="H25" s="303">
        <f>0.15*E25</f>
        <v>105019.344</v>
      </c>
      <c r="I25" s="303">
        <f>0.7*E25</f>
        <v>490090.27199999994</v>
      </c>
      <c r="J25" s="325">
        <f>0.15*E25</f>
        <v>105019.344</v>
      </c>
      <c r="K25" s="325"/>
      <c r="L25" s="325"/>
      <c r="M25" s="325"/>
      <c r="N25" s="325"/>
      <c r="O25" s="325"/>
      <c r="P25" s="325"/>
      <c r="Q25" s="326"/>
      <c r="R25" s="326"/>
      <c r="S25" s="326"/>
      <c r="T25" s="327">
        <f t="shared" si="11"/>
        <v>140025.79199999999</v>
      </c>
      <c r="U25" s="328"/>
      <c r="V25" s="328"/>
      <c r="W25" s="329">
        <f t="shared" si="10"/>
        <v>15558.421333333332</v>
      </c>
      <c r="X25" s="329">
        <f t="shared" si="10"/>
        <v>15558.421333333332</v>
      </c>
      <c r="Y25" s="329">
        <f t="shared" si="10"/>
        <v>15558.421333333332</v>
      </c>
      <c r="Z25" s="329">
        <f t="shared" si="10"/>
        <v>15558.421333333332</v>
      </c>
      <c r="AA25" s="329">
        <f t="shared" si="10"/>
        <v>15558.421333333332</v>
      </c>
      <c r="AB25" s="329">
        <f t="shared" si="10"/>
        <v>15558.421333333332</v>
      </c>
      <c r="AC25" s="329">
        <f t="shared" si="10"/>
        <v>15558.421333333332</v>
      </c>
      <c r="AD25" s="329">
        <f t="shared" si="10"/>
        <v>15558.421333333332</v>
      </c>
      <c r="AE25" s="329">
        <f t="shared" si="10"/>
        <v>15558.421333333332</v>
      </c>
    </row>
    <row r="26" spans="2:31" x14ac:dyDescent="0.25">
      <c r="B26" s="283"/>
      <c r="C26" s="305"/>
      <c r="D26" s="306"/>
      <c r="E26" s="288"/>
      <c r="F26" s="288"/>
      <c r="G26" s="288"/>
      <c r="H26" s="288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7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</row>
    <row r="27" spans="2:31" x14ac:dyDescent="0.25">
      <c r="C27" s="299" t="s">
        <v>125</v>
      </c>
      <c r="D27" s="299"/>
      <c r="E27" s="330">
        <f t="shared" ref="E27:R27" si="16">SUM(E5:E25)</f>
        <v>19757138.960000001</v>
      </c>
      <c r="F27" s="330">
        <f t="shared" si="16"/>
        <v>2370856.6751999995</v>
      </c>
      <c r="G27" s="330">
        <f t="shared" si="16"/>
        <v>22127995.635199994</v>
      </c>
      <c r="H27" s="330">
        <f t="shared" si="16"/>
        <v>2760687.046333333</v>
      </c>
      <c r="I27" s="330">
        <f t="shared" si="16"/>
        <v>8800586.6738333348</v>
      </c>
      <c r="J27" s="330">
        <f t="shared" si="16"/>
        <v>6232809.389833332</v>
      </c>
      <c r="K27" s="330">
        <f t="shared" si="16"/>
        <v>677521.71</v>
      </c>
      <c r="L27" s="330">
        <f t="shared" si="16"/>
        <v>186714.86</v>
      </c>
      <c r="M27" s="330">
        <f t="shared" si="16"/>
        <v>185535.45</v>
      </c>
      <c r="N27" s="330">
        <f t="shared" si="16"/>
        <v>185521.68</v>
      </c>
      <c r="O27" s="330">
        <f t="shared" si="16"/>
        <v>183888.65</v>
      </c>
      <c r="P27" s="330">
        <f t="shared" si="16"/>
        <v>183445.49</v>
      </c>
      <c r="Q27" s="330">
        <f t="shared" si="16"/>
        <v>180673</v>
      </c>
      <c r="R27" s="330">
        <f t="shared" si="16"/>
        <v>179755.01</v>
      </c>
      <c r="S27" s="330"/>
      <c r="T27" s="34">
        <f t="shared" ref="T27" si="17">SUM(T5:T26)</f>
        <v>3109679.926</v>
      </c>
      <c r="U27" s="34">
        <f t="shared" ref="U27" si="18">SUM(U5:U26)</f>
        <v>0</v>
      </c>
      <c r="V27" s="34">
        <f t="shared" ref="V27" si="19">SUM(V5:V26)</f>
        <v>81583.815400000007</v>
      </c>
      <c r="W27" s="34">
        <f t="shared" ref="W27" si="20">SUM(W5:W26)</f>
        <v>332075.57140000002</v>
      </c>
      <c r="X27" s="34">
        <f t="shared" ref="X27" si="21">SUM(X5:X26)</f>
        <v>332075.57140000002</v>
      </c>
      <c r="Y27" s="34">
        <f t="shared" ref="Y27" si="22">SUM(Y5:Y26)</f>
        <v>332075.57140000002</v>
      </c>
      <c r="Z27" s="34">
        <f t="shared" ref="Z27" si="23">SUM(Z5:Z26)</f>
        <v>332075.57140000002</v>
      </c>
      <c r="AA27" s="34">
        <f t="shared" ref="AA27" si="24">SUM(AA5:AA26)</f>
        <v>332075.57140000002</v>
      </c>
      <c r="AB27" s="34">
        <f t="shared" ref="AB27" si="25">SUM(AB5:AB26)</f>
        <v>332075.57140000002</v>
      </c>
      <c r="AC27" s="34">
        <f t="shared" ref="AC27" si="26">SUM(AC5:AC26)</f>
        <v>332075.57140000002</v>
      </c>
      <c r="AD27" s="34">
        <f t="shared" ref="AD27" si="27">SUM(AD5:AD26)</f>
        <v>332075.57140000002</v>
      </c>
      <c r="AE27" s="34">
        <f t="shared" ref="AE27" si="28">SUM(AE5:AE26)</f>
        <v>332075.57140000002</v>
      </c>
    </row>
    <row r="28" spans="2:31" x14ac:dyDescent="0.25">
      <c r="V28" s="7">
        <f>T17/8</f>
        <v>106944.41800000001</v>
      </c>
      <c r="W28" s="7">
        <f>V28*8</f>
        <v>855555.34400000004</v>
      </c>
    </row>
    <row r="29" spans="2:31" x14ac:dyDescent="0.25">
      <c r="B29" s="36"/>
      <c r="C29" s="35" t="s">
        <v>126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31">
        <f>SUM(U29:AE29)</f>
        <v>4005999.8099999991</v>
      </c>
      <c r="U29" s="331">
        <v>364181.8009090909</v>
      </c>
      <c r="V29" s="331">
        <v>364181.8009090909</v>
      </c>
      <c r="W29" s="331">
        <v>364181.8009090909</v>
      </c>
      <c r="X29" s="331">
        <v>364181.8009090909</v>
      </c>
      <c r="Y29" s="331">
        <v>364181.8009090909</v>
      </c>
      <c r="Z29" s="331">
        <v>364181.8009090909</v>
      </c>
      <c r="AA29" s="331">
        <v>364181.8009090909</v>
      </c>
      <c r="AB29" s="331">
        <v>364181.8009090909</v>
      </c>
      <c r="AC29" s="331">
        <v>364181.8009090909</v>
      </c>
      <c r="AD29" s="331">
        <v>364181.8009090909</v>
      </c>
      <c r="AE29" s="331">
        <v>364181.8009090909</v>
      </c>
    </row>
    <row r="31" spans="2:31" x14ac:dyDescent="0.25">
      <c r="D31" s="28" t="s">
        <v>111</v>
      </c>
      <c r="E31" s="29">
        <f>SUM(E5:E11)</f>
        <v>4407079.84</v>
      </c>
      <c r="F31" s="88">
        <f>E31/E34</f>
        <v>0.22306265339948794</v>
      </c>
      <c r="G31" s="46">
        <f>F32+F31</f>
        <v>0.42039584713231171</v>
      </c>
    </row>
    <row r="32" spans="2:31" x14ac:dyDescent="0.25">
      <c r="D32" s="206" t="s">
        <v>119</v>
      </c>
      <c r="E32" s="30">
        <f>SUM(E12:E16)</f>
        <v>3898739.33</v>
      </c>
      <c r="F32" s="88">
        <f>E32/E34</f>
        <v>0.19733319373282374</v>
      </c>
      <c r="G32" s="53"/>
    </row>
    <row r="33" spans="4:17" x14ac:dyDescent="0.25">
      <c r="D33" s="31" t="s">
        <v>124</v>
      </c>
      <c r="E33" s="32">
        <f>SUM(E17:E25)</f>
        <v>11451319.789999999</v>
      </c>
      <c r="F33" s="88">
        <f>E33/E34</f>
        <v>0.57960415286768818</v>
      </c>
      <c r="G33" s="53"/>
    </row>
    <row r="34" spans="4:17" x14ac:dyDescent="0.25">
      <c r="D34" s="33" t="s">
        <v>125</v>
      </c>
      <c r="E34" s="33">
        <f>E31+E32+E33</f>
        <v>19757138.960000001</v>
      </c>
    </row>
    <row r="36" spans="4:17" x14ac:dyDescent="0.25">
      <c r="E36" s="37">
        <v>2020</v>
      </c>
      <c r="F36" s="37">
        <v>2021</v>
      </c>
      <c r="G36" s="37">
        <v>2022</v>
      </c>
      <c r="H36" s="37">
        <v>2023</v>
      </c>
      <c r="I36" s="37">
        <v>2024</v>
      </c>
      <c r="J36" s="37">
        <v>2025</v>
      </c>
      <c r="K36" s="37">
        <v>2026</v>
      </c>
      <c r="L36" s="37">
        <v>2027</v>
      </c>
      <c r="M36" s="37">
        <v>2028</v>
      </c>
      <c r="N36" s="37">
        <v>2029</v>
      </c>
      <c r="O36" s="37">
        <v>2030</v>
      </c>
      <c r="P36" s="37" t="s">
        <v>125</v>
      </c>
    </row>
    <row r="37" spans="4:17" x14ac:dyDescent="0.25">
      <c r="D37" s="38" t="s">
        <v>127</v>
      </c>
      <c r="E37" s="207">
        <v>2760687.046333333</v>
      </c>
      <c r="F37" s="207">
        <v>8800586.6738333348</v>
      </c>
      <c r="G37" s="207">
        <v>6232809.389833332</v>
      </c>
      <c r="H37" s="207">
        <v>677521.71</v>
      </c>
      <c r="I37" s="207">
        <v>186714.86</v>
      </c>
      <c r="J37" s="207">
        <v>185535.45</v>
      </c>
      <c r="K37" s="207">
        <v>185521.68</v>
      </c>
      <c r="L37" s="207">
        <v>183888.65</v>
      </c>
      <c r="M37" s="207">
        <v>183445.49</v>
      </c>
      <c r="N37" s="207">
        <v>180673</v>
      </c>
      <c r="O37" s="207">
        <v>179755.01</v>
      </c>
      <c r="P37" s="207">
        <f>SUM(E37:O37)</f>
        <v>19757138.959999997</v>
      </c>
    </row>
    <row r="38" spans="4:17" x14ac:dyDescent="0.25">
      <c r="D38" s="38" t="s">
        <v>128</v>
      </c>
      <c r="E38" s="207">
        <v>0</v>
      </c>
      <c r="F38" s="207">
        <v>61525.412199999999</v>
      </c>
      <c r="G38" s="207">
        <v>312017.16819999996</v>
      </c>
      <c r="H38" s="207">
        <v>342017.16819999996</v>
      </c>
      <c r="I38" s="207">
        <v>342017.16819999996</v>
      </c>
      <c r="J38" s="207">
        <v>342017.16819999996</v>
      </c>
      <c r="K38" s="207">
        <v>342017.16819999996</v>
      </c>
      <c r="L38" s="207">
        <v>342017.16819999996</v>
      </c>
      <c r="M38" s="207">
        <v>342017.16819999996</v>
      </c>
      <c r="N38" s="207">
        <v>342017.16819999996</v>
      </c>
      <c r="O38" s="207">
        <v>342017.16819999996</v>
      </c>
      <c r="P38" s="207">
        <f t="shared" ref="P38" si="29">SUM(E38:O38)</f>
        <v>3109679.926</v>
      </c>
      <c r="Q38" s="290"/>
    </row>
    <row r="39" spans="4:17" x14ac:dyDescent="0.25">
      <c r="D39" s="38" t="s">
        <v>129</v>
      </c>
      <c r="E39" s="207">
        <f>+U29</f>
        <v>364181.8009090909</v>
      </c>
      <c r="F39" s="207">
        <f>+E39</f>
        <v>364181.8009090909</v>
      </c>
      <c r="G39" s="207">
        <f t="shared" ref="G39:O39" si="30">+F39</f>
        <v>364181.8009090909</v>
      </c>
      <c r="H39" s="207">
        <f t="shared" si="30"/>
        <v>364181.8009090909</v>
      </c>
      <c r="I39" s="207">
        <f t="shared" si="30"/>
        <v>364181.8009090909</v>
      </c>
      <c r="J39" s="207">
        <f t="shared" si="30"/>
        <v>364181.8009090909</v>
      </c>
      <c r="K39" s="207">
        <f t="shared" si="30"/>
        <v>364181.8009090909</v>
      </c>
      <c r="L39" s="207">
        <f t="shared" si="30"/>
        <v>364181.8009090909</v>
      </c>
      <c r="M39" s="207">
        <f t="shared" si="30"/>
        <v>364181.8009090909</v>
      </c>
      <c r="N39" s="207">
        <f t="shared" si="30"/>
        <v>364181.8009090909</v>
      </c>
      <c r="O39" s="207">
        <f t="shared" si="30"/>
        <v>364181.8009090909</v>
      </c>
      <c r="P39" s="207">
        <f>SUM(E39:O39)</f>
        <v>4005999.8099999991</v>
      </c>
      <c r="Q39" s="290"/>
    </row>
    <row r="40" spans="4:17" x14ac:dyDescent="0.25">
      <c r="D40" s="38" t="s">
        <v>125</v>
      </c>
      <c r="E40" s="208">
        <f>SUM(E37:E39)</f>
        <v>3124868.8472424238</v>
      </c>
      <c r="F40" s="208">
        <f t="shared" ref="F40:P40" si="31">SUM(F37:F39)</f>
        <v>9226293.8869424257</v>
      </c>
      <c r="G40" s="208">
        <f t="shared" si="31"/>
        <v>6909008.358942423</v>
      </c>
      <c r="H40" s="208">
        <f t="shared" si="31"/>
        <v>1383720.6791090909</v>
      </c>
      <c r="I40" s="208">
        <f t="shared" si="31"/>
        <v>892913.82910909085</v>
      </c>
      <c r="J40" s="208">
        <f t="shared" si="31"/>
        <v>891734.41910909081</v>
      </c>
      <c r="K40" s="208">
        <f t="shared" si="31"/>
        <v>891720.64910909079</v>
      </c>
      <c r="L40" s="208">
        <f t="shared" si="31"/>
        <v>890087.61910909088</v>
      </c>
      <c r="M40" s="208">
        <f t="shared" si="31"/>
        <v>889644.45910909085</v>
      </c>
      <c r="N40" s="208">
        <f t="shared" si="31"/>
        <v>886871.96910909086</v>
      </c>
      <c r="O40" s="208">
        <f t="shared" si="31"/>
        <v>885953.97910909087</v>
      </c>
      <c r="P40" s="279">
        <f t="shared" si="31"/>
        <v>26872818.695999995</v>
      </c>
      <c r="Q40" s="290"/>
    </row>
    <row r="42" spans="4:17" x14ac:dyDescent="0.25">
      <c r="D42" s="39" t="s">
        <v>334</v>
      </c>
      <c r="E42" s="72">
        <f>4000*6</f>
        <v>24000</v>
      </c>
    </row>
    <row r="43" spans="4:17" x14ac:dyDescent="0.25">
      <c r="E43" s="72">
        <f>+E42*12</f>
        <v>288000</v>
      </c>
      <c r="F43" s="72">
        <f>+E39/12</f>
        <v>30348.48340909091</v>
      </c>
      <c r="P43" s="290"/>
    </row>
    <row r="44" spans="4:17" x14ac:dyDescent="0.25">
      <c r="D44" s="72" t="s">
        <v>170</v>
      </c>
      <c r="E44" s="261">
        <f>+E43*1.12</f>
        <v>322560.00000000006</v>
      </c>
      <c r="F44" s="261">
        <f>+F43*3</f>
        <v>91045.450227272726</v>
      </c>
      <c r="G44" s="261"/>
      <c r="H44" s="261"/>
      <c r="I44" s="261"/>
      <c r="J44" s="261"/>
      <c r="K44" s="261"/>
      <c r="L44" s="261"/>
      <c r="M44" s="261"/>
      <c r="N44" s="261"/>
      <c r="O44" s="261"/>
      <c r="P44" s="261"/>
    </row>
    <row r="45" spans="4:17" x14ac:dyDescent="0.25">
      <c r="D45" s="72" t="s">
        <v>127</v>
      </c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</row>
    <row r="46" spans="4:17" x14ac:dyDescent="0.25">
      <c r="D46" s="72" t="s">
        <v>128</v>
      </c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</row>
    <row r="47" spans="4:17" x14ac:dyDescent="0.25">
      <c r="D47" s="72" t="s">
        <v>129</v>
      </c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</row>
    <row r="48" spans="4:17" x14ac:dyDescent="0.25">
      <c r="D48" s="72" t="s">
        <v>125</v>
      </c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</row>
    <row r="50" spans="5:16" x14ac:dyDescent="0.25"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5:16" x14ac:dyDescent="0.25"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23"/>
  <sheetViews>
    <sheetView zoomScale="110" zoomScaleNormal="110" workbookViewId="0">
      <selection activeCell="C15" sqref="C15"/>
    </sheetView>
  </sheetViews>
  <sheetFormatPr baseColWidth="10" defaultColWidth="11.42578125" defaultRowHeight="15" x14ac:dyDescent="0.25"/>
  <cols>
    <col min="1" max="1" width="11.42578125" style="72"/>
    <col min="2" max="2" width="55.5703125" style="72" customWidth="1"/>
    <col min="3" max="3" width="13.7109375" style="72" bestFit="1" customWidth="1"/>
    <col min="4" max="4" width="15.140625" style="72" customWidth="1"/>
    <col min="5" max="5" width="11.42578125" style="72" bestFit="1" customWidth="1"/>
    <col min="6" max="6" width="10.85546875" style="72" bestFit="1" customWidth="1"/>
    <col min="7" max="9" width="11" style="72" bestFit="1" customWidth="1"/>
    <col min="10" max="10" width="10.42578125" style="72" bestFit="1" customWidth="1"/>
    <col min="11" max="11" width="10.7109375" style="72" bestFit="1" customWidth="1"/>
    <col min="12" max="12" width="10.42578125" style="72" bestFit="1" customWidth="1"/>
    <col min="13" max="13" width="11" style="72" bestFit="1" customWidth="1"/>
    <col min="14" max="14" width="11.7109375" style="72" bestFit="1" customWidth="1"/>
    <col min="15" max="15" width="13.85546875" style="72" bestFit="1" customWidth="1"/>
    <col min="16" max="16384" width="11.42578125" style="72"/>
  </cols>
  <sheetData>
    <row r="2" spans="2:15" x14ac:dyDescent="0.25">
      <c r="B2" s="374" t="s">
        <v>414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</row>
    <row r="3" spans="2:15" x14ac:dyDescent="0.25">
      <c r="B3" s="144"/>
      <c r="C3" s="147">
        <v>2020</v>
      </c>
      <c r="D3" s="147">
        <v>2021</v>
      </c>
      <c r="E3" s="147">
        <v>2022</v>
      </c>
      <c r="F3" s="147">
        <v>2023</v>
      </c>
      <c r="G3" s="147">
        <v>2024</v>
      </c>
      <c r="H3" s="147">
        <v>2025</v>
      </c>
      <c r="I3" s="147">
        <v>2026</v>
      </c>
      <c r="J3" s="147">
        <v>2027</v>
      </c>
      <c r="K3" s="147">
        <v>2028</v>
      </c>
      <c r="L3" s="147">
        <v>2029</v>
      </c>
      <c r="M3" s="147">
        <v>2030</v>
      </c>
      <c r="N3" s="149" t="s">
        <v>125</v>
      </c>
    </row>
    <row r="4" spans="2:15" x14ac:dyDescent="0.25">
      <c r="B4" s="145" t="s">
        <v>169</v>
      </c>
      <c r="C4" s="145">
        <f>'Ing Mejora Recaudacion'!I27</f>
        <v>0</v>
      </c>
      <c r="D4" s="145">
        <f>'Ing Mejora Recaudacion'!J30</f>
        <v>4171197.3623487409</v>
      </c>
      <c r="E4" s="145">
        <f>'Ing Mejora Recaudacion'!K30</f>
        <v>3366547.6402289239</v>
      </c>
      <c r="F4" s="145">
        <f>'Ing Mejora Recaudacion'!L30</f>
        <v>3875713.0283394093</v>
      </c>
      <c r="G4" s="145">
        <f>'Ing Mejora Recaudacion'!M30</f>
        <v>4265338.1170667261</v>
      </c>
      <c r="H4" s="145">
        <f>'Ing Mejora Recaudacion'!N30</f>
        <v>4657917.4627212575</v>
      </c>
      <c r="I4" s="145">
        <f>'Ing Mejora Recaudacion'!O30</f>
        <v>4796604.4115403462</v>
      </c>
      <c r="J4" s="145">
        <f>'Ing Mejora Recaudacion'!P30</f>
        <v>4931612.2001644075</v>
      </c>
      <c r="K4" s="145">
        <f>'Ing Mejora Recaudacion'!Q30</f>
        <v>5064605.5452037081</v>
      </c>
      <c r="L4" s="145">
        <f>'Ing Mejora Recaudacion'!R30</f>
        <v>5370079.2994516212</v>
      </c>
      <c r="M4" s="145">
        <f>'Ing Mejora Recaudacion'!S30</f>
        <v>5264303.6477591414</v>
      </c>
      <c r="N4" s="150">
        <f>SUM(D4:M4)</f>
        <v>45763918.714824282</v>
      </c>
    </row>
    <row r="5" spans="2:15" x14ac:dyDescent="0.25">
      <c r="B5" s="144" t="s">
        <v>170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51" t="s">
        <v>125</v>
      </c>
    </row>
    <row r="6" spans="2:15" x14ac:dyDescent="0.25">
      <c r="B6" s="144" t="s">
        <v>127</v>
      </c>
      <c r="C6" s="256">
        <f>INVERSIONES!E37</f>
        <v>2760687.046333333</v>
      </c>
      <c r="D6" s="256">
        <f>INVERSIONES!F37</f>
        <v>8800586.6738333348</v>
      </c>
      <c r="E6" s="256">
        <f>INVERSIONES!G37</f>
        <v>6232809.389833332</v>
      </c>
      <c r="F6" s="256">
        <f>INVERSIONES!H37</f>
        <v>677521.71</v>
      </c>
      <c r="G6" s="256">
        <f>INVERSIONES!I37</f>
        <v>186714.86</v>
      </c>
      <c r="H6" s="256">
        <f>INVERSIONES!J37</f>
        <v>185535.45</v>
      </c>
      <c r="I6" s="256">
        <f>INVERSIONES!K37</f>
        <v>185521.68</v>
      </c>
      <c r="J6" s="256">
        <f>INVERSIONES!L37</f>
        <v>183888.65</v>
      </c>
      <c r="K6" s="256">
        <f>INVERSIONES!M37</f>
        <v>183445.49</v>
      </c>
      <c r="L6" s="256">
        <f>INVERSIONES!N37</f>
        <v>180673</v>
      </c>
      <c r="M6" s="256">
        <f>INVERSIONES!O37</f>
        <v>179755.01</v>
      </c>
      <c r="N6" s="152">
        <f>SUM(C6:M6)</f>
        <v>19757138.959999997</v>
      </c>
      <c r="O6" s="8"/>
    </row>
    <row r="7" spans="2:15" x14ac:dyDescent="0.25">
      <c r="B7" s="144" t="s">
        <v>128</v>
      </c>
      <c r="C7" s="256">
        <f>INVERSIONES!E38</f>
        <v>0</v>
      </c>
      <c r="D7" s="256">
        <f>INVERSIONES!F38</f>
        <v>61525.412199999999</v>
      </c>
      <c r="E7" s="256">
        <f>INVERSIONES!G38</f>
        <v>312017.16819999996</v>
      </c>
      <c r="F7" s="256">
        <f>INVERSIONES!H38</f>
        <v>342017.16819999996</v>
      </c>
      <c r="G7" s="256">
        <f>INVERSIONES!I38</f>
        <v>342017.16819999996</v>
      </c>
      <c r="H7" s="256">
        <f>INVERSIONES!J38</f>
        <v>342017.16819999996</v>
      </c>
      <c r="I7" s="256">
        <f>INVERSIONES!K38</f>
        <v>342017.16819999996</v>
      </c>
      <c r="J7" s="256">
        <f>INVERSIONES!L38</f>
        <v>342017.16819999996</v>
      </c>
      <c r="K7" s="256">
        <f>INVERSIONES!M38</f>
        <v>342017.16819999996</v>
      </c>
      <c r="L7" s="256">
        <f>INVERSIONES!N38</f>
        <v>342017.16819999996</v>
      </c>
      <c r="M7" s="256">
        <f>INVERSIONES!O38</f>
        <v>342017.16819999996</v>
      </c>
      <c r="N7" s="152">
        <f>SUM(C7:M7)</f>
        <v>3109679.926</v>
      </c>
      <c r="O7" s="8"/>
    </row>
    <row r="8" spans="2:15" x14ac:dyDescent="0.25">
      <c r="B8" s="144" t="s">
        <v>129</v>
      </c>
      <c r="C8" s="256">
        <f>INVERSIONES!E39</f>
        <v>364181.8009090909</v>
      </c>
      <c r="D8" s="256">
        <f>INVERSIONES!F39</f>
        <v>364181.8009090909</v>
      </c>
      <c r="E8" s="256">
        <f>INVERSIONES!G39</f>
        <v>364181.8009090909</v>
      </c>
      <c r="F8" s="256">
        <f>INVERSIONES!H39</f>
        <v>364181.8009090909</v>
      </c>
      <c r="G8" s="256">
        <f>INVERSIONES!I39</f>
        <v>364181.8009090909</v>
      </c>
      <c r="H8" s="256">
        <f>INVERSIONES!J39</f>
        <v>364181.8009090909</v>
      </c>
      <c r="I8" s="256">
        <f>INVERSIONES!K39</f>
        <v>364181.8009090909</v>
      </c>
      <c r="J8" s="256">
        <f>INVERSIONES!L39</f>
        <v>364181.8009090909</v>
      </c>
      <c r="K8" s="256">
        <f>INVERSIONES!M39</f>
        <v>364181.8009090909</v>
      </c>
      <c r="L8" s="256">
        <f>INVERSIONES!N39</f>
        <v>364181.8009090909</v>
      </c>
      <c r="M8" s="256">
        <f>INVERSIONES!O39</f>
        <v>364181.8009090909</v>
      </c>
      <c r="N8" s="152">
        <f>SUM(C8:M8)</f>
        <v>4005999.8099999991</v>
      </c>
      <c r="O8" s="8"/>
    </row>
    <row r="9" spans="2:15" x14ac:dyDescent="0.25">
      <c r="B9" s="144" t="s">
        <v>125</v>
      </c>
      <c r="C9" s="256">
        <f>SUM(C6:C8)</f>
        <v>3124868.8472424238</v>
      </c>
      <c r="D9" s="256">
        <f t="shared" ref="D9:M9" si="0">SUM(D6:D8)</f>
        <v>9226293.8869424257</v>
      </c>
      <c r="E9" s="256">
        <f t="shared" si="0"/>
        <v>6909008.358942423</v>
      </c>
      <c r="F9" s="256">
        <f t="shared" si="0"/>
        <v>1383720.6791090909</v>
      </c>
      <c r="G9" s="256">
        <f t="shared" si="0"/>
        <v>892913.82910909085</v>
      </c>
      <c r="H9" s="256">
        <f t="shared" si="0"/>
        <v>891734.41910909081</v>
      </c>
      <c r="I9" s="256">
        <f t="shared" si="0"/>
        <v>891720.64910909079</v>
      </c>
      <c r="J9" s="256">
        <f t="shared" si="0"/>
        <v>890087.61910909088</v>
      </c>
      <c r="K9" s="256">
        <f t="shared" si="0"/>
        <v>889644.45910909085</v>
      </c>
      <c r="L9" s="256">
        <f t="shared" si="0"/>
        <v>886871.96910909086</v>
      </c>
      <c r="M9" s="256">
        <f t="shared" si="0"/>
        <v>885953.97910909087</v>
      </c>
      <c r="N9" s="152">
        <f>SUM(N6:N8)</f>
        <v>26872818.695999995</v>
      </c>
      <c r="O9" s="7"/>
    </row>
    <row r="10" spans="2:15" x14ac:dyDescent="0.25">
      <c r="B10" s="148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8">
        <f>SUM(C10:M10)</f>
        <v>0</v>
      </c>
    </row>
    <row r="11" spans="2:15" x14ac:dyDescent="0.25">
      <c r="B11" s="148" t="s">
        <v>168</v>
      </c>
      <c r="C11" s="144">
        <v>100000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8">
        <f t="shared" ref="N11" si="1">SUM(C11:M11)</f>
        <v>100000</v>
      </c>
    </row>
    <row r="12" spans="2:15" x14ac:dyDescent="0.25"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2:15" x14ac:dyDescent="0.25">
      <c r="B13" s="144" t="s">
        <v>172</v>
      </c>
      <c r="C13" s="145">
        <f>C9+C11</f>
        <v>3224868.8472424238</v>
      </c>
      <c r="D13" s="145">
        <f t="shared" ref="D13:M13" si="2">D9+D11</f>
        <v>9226293.8869424257</v>
      </c>
      <c r="E13" s="145">
        <f t="shared" si="2"/>
        <v>6909008.358942423</v>
      </c>
      <c r="F13" s="145">
        <f t="shared" si="2"/>
        <v>1383720.6791090909</v>
      </c>
      <c r="G13" s="145">
        <f t="shared" si="2"/>
        <v>892913.82910909085</v>
      </c>
      <c r="H13" s="145">
        <f t="shared" si="2"/>
        <v>891734.41910909081</v>
      </c>
      <c r="I13" s="145">
        <f t="shared" si="2"/>
        <v>891720.64910909079</v>
      </c>
      <c r="J13" s="145">
        <f t="shared" si="2"/>
        <v>890087.61910909088</v>
      </c>
      <c r="K13" s="145">
        <f t="shared" si="2"/>
        <v>889644.45910909085</v>
      </c>
      <c r="L13" s="145">
        <f t="shared" si="2"/>
        <v>886871.96910909086</v>
      </c>
      <c r="M13" s="145">
        <f t="shared" si="2"/>
        <v>885953.97910909087</v>
      </c>
      <c r="N13" s="145">
        <f>SUM(C13:M13)</f>
        <v>26972818.695999999</v>
      </c>
    </row>
    <row r="14" spans="2:15" x14ac:dyDescent="0.25">
      <c r="B14" s="153" t="s">
        <v>171</v>
      </c>
      <c r="C14" s="153">
        <f t="shared" ref="C14:M14" si="3">C4-C13</f>
        <v>-3224868.8472424238</v>
      </c>
      <c r="D14" s="153">
        <f t="shared" si="3"/>
        <v>-5055096.5245936848</v>
      </c>
      <c r="E14" s="153">
        <f t="shared" si="3"/>
        <v>-3542460.7187134991</v>
      </c>
      <c r="F14" s="153">
        <f t="shared" si="3"/>
        <v>2491992.3492303183</v>
      </c>
      <c r="G14" s="153">
        <f t="shared" si="3"/>
        <v>3372424.2879576352</v>
      </c>
      <c r="H14" s="153">
        <f t="shared" si="3"/>
        <v>3766183.0436121668</v>
      </c>
      <c r="I14" s="153">
        <f t="shared" si="3"/>
        <v>3904883.7624312555</v>
      </c>
      <c r="J14" s="153">
        <f t="shared" si="3"/>
        <v>4041524.5810553166</v>
      </c>
      <c r="K14" s="153">
        <f t="shared" si="3"/>
        <v>4174961.0860946174</v>
      </c>
      <c r="L14" s="153">
        <f t="shared" si="3"/>
        <v>4483207.3303425303</v>
      </c>
      <c r="M14" s="153">
        <f t="shared" si="3"/>
        <v>4378349.6686500506</v>
      </c>
      <c r="N14" s="145">
        <f>SUM(C14:M14)</f>
        <v>18791100.018824279</v>
      </c>
    </row>
    <row r="15" spans="2:15" x14ac:dyDescent="0.25">
      <c r="B15" s="144" t="s">
        <v>173</v>
      </c>
      <c r="C15" s="258">
        <f>IRR(C14:M14)</f>
        <v>0.19186685183334817</v>
      </c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</row>
    <row r="17" spans="2:8" x14ac:dyDescent="0.25">
      <c r="F17" s="49"/>
    </row>
    <row r="18" spans="2:8" x14ac:dyDescent="0.25">
      <c r="B18" s="53" t="s">
        <v>322</v>
      </c>
      <c r="C18" s="188">
        <f>NPV(C20,D4:M4)+C4</f>
        <v>24738621.531861961</v>
      </c>
      <c r="H18" s="49"/>
    </row>
    <row r="19" spans="2:8" x14ac:dyDescent="0.25">
      <c r="B19" s="53" t="s">
        <v>321</v>
      </c>
      <c r="C19" s="188">
        <f>NPV(C20,D13:M13)+C13</f>
        <v>20807293.086715918</v>
      </c>
    </row>
    <row r="20" spans="2:8" x14ac:dyDescent="0.25">
      <c r="B20" s="53" t="s">
        <v>180</v>
      </c>
      <c r="C20" s="187">
        <f>'Tasa de descuento'!D14</f>
        <v>0.1211</v>
      </c>
      <c r="E20" s="209"/>
    </row>
    <row r="21" spans="2:8" x14ac:dyDescent="0.25">
      <c r="B21" s="53" t="s">
        <v>173</v>
      </c>
      <c r="C21" s="187">
        <f>IRR(C14:M14)</f>
        <v>0.19186685183334817</v>
      </c>
    </row>
    <row r="22" spans="2:8" x14ac:dyDescent="0.25">
      <c r="B22" s="53" t="s">
        <v>323</v>
      </c>
      <c r="C22" s="281">
        <f>NPV(C20,D14:M14)+C14</f>
        <v>3931328.4451460377</v>
      </c>
    </row>
    <row r="23" spans="2:8" x14ac:dyDescent="0.25">
      <c r="C23" s="257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Concepto Ingresos Incrementales</vt:lpstr>
      <vt:lpstr>Ing Mejora Recaudacion</vt:lpstr>
      <vt:lpstr>Incremento facturación cero</vt:lpstr>
      <vt:lpstr>Respaldo (I) cuentas cero</vt:lpstr>
      <vt:lpstr>Ingreso por Cobertura</vt:lpstr>
      <vt:lpstr>Ing. Cambio metod ARCA</vt:lpstr>
      <vt:lpstr>Ing. Reducción Subsidios</vt:lpstr>
      <vt:lpstr>INVERSIONES</vt:lpstr>
      <vt:lpstr>FLUJO CAJA </vt:lpstr>
      <vt:lpstr>FLUJO ALIADO Y EP</vt:lpstr>
      <vt:lpstr>G&amp;P </vt:lpstr>
      <vt:lpstr>Financiamiento </vt:lpstr>
      <vt:lpstr>Resumen TIR</vt:lpstr>
      <vt:lpstr>Tasa de descuento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Santana</dc:creator>
  <cp:lastModifiedBy>Andres Yepez</cp:lastModifiedBy>
  <dcterms:created xsi:type="dcterms:W3CDTF">2019-12-10T14:12:19Z</dcterms:created>
  <dcterms:modified xsi:type="dcterms:W3CDTF">2020-03-08T21:17:15Z</dcterms:modified>
</cp:coreProperties>
</file>